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영진(2021년)\2급\2급 엑셀파일(최종)\이론\"/>
    </mc:Choice>
  </mc:AlternateContent>
  <bookViews>
    <workbookView xWindow="0" yWindow="0" windowWidth="16320" windowHeight="11370" tabRatio="822"/>
  </bookViews>
  <sheets>
    <sheet name="계산" sheetId="14" r:id="rId1"/>
    <sheet name="계산(결과)" sheetId="1" r:id="rId2"/>
    <sheet name="데이터베이스" sheetId="15" r:id="rId3"/>
    <sheet name="데이터베이스(결과)" sheetId="2" r:id="rId4"/>
    <sheet name="수학삼각1" sheetId="16" r:id="rId5"/>
    <sheet name="수학삼각1(결과)" sheetId="3" r:id="rId6"/>
    <sheet name="수학삼각2" sheetId="17" r:id="rId7"/>
    <sheet name="수학삼각2(결과)" sheetId="4" r:id="rId8"/>
    <sheet name="통계1" sheetId="18" r:id="rId9"/>
    <sheet name="통계1(결과)" sheetId="5" r:id="rId10"/>
    <sheet name="통계2" sheetId="19" r:id="rId11"/>
    <sheet name="통계2(결과)" sheetId="6" r:id="rId12"/>
    <sheet name="찾기참조1" sheetId="20" r:id="rId13"/>
    <sheet name="찾기참조1(결과)" sheetId="7" r:id="rId14"/>
    <sheet name="찾기참조2" sheetId="8" r:id="rId15"/>
    <sheet name="찾기참조2(결과)" sheetId="21" r:id="rId16"/>
    <sheet name="날짜1" sheetId="9" r:id="rId17"/>
    <sheet name="날짜1(결과)" sheetId="22" r:id="rId18"/>
    <sheet name="날짜2" sheetId="23" r:id="rId19"/>
    <sheet name="날짜2(결과)" sheetId="10" r:id="rId20"/>
    <sheet name="텍스트" sheetId="11" r:id="rId21"/>
    <sheet name="텍스트(결과)" sheetId="24" r:id="rId22"/>
    <sheet name="논리1" sheetId="12" r:id="rId23"/>
    <sheet name="논리1(결과)" sheetId="25" r:id="rId24"/>
    <sheet name="논리2" sheetId="13" r:id="rId25"/>
    <sheet name="논리2(결과)" sheetId="27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27" l="1"/>
  <c r="E5" i="27"/>
  <c r="E6" i="27"/>
  <c r="E7" i="27"/>
  <c r="E8" i="27"/>
  <c r="E9" i="27"/>
  <c r="E10" i="27"/>
  <c r="E11" i="27"/>
  <c r="E12" i="27"/>
  <c r="E3" i="27"/>
  <c r="E11" i="3" l="1"/>
  <c r="E10" i="3"/>
  <c r="E9" i="3"/>
  <c r="E8" i="3"/>
  <c r="E7" i="3"/>
  <c r="E6" i="3"/>
  <c r="E5" i="3"/>
  <c r="E4" i="3"/>
  <c r="E12" i="3"/>
  <c r="E3" i="3"/>
  <c r="C13" i="10" l="1"/>
  <c r="C14" i="10"/>
  <c r="C15" i="10"/>
  <c r="C16" i="10"/>
  <c r="C17" i="10"/>
  <c r="C18" i="10"/>
  <c r="C19" i="10"/>
  <c r="C20" i="10"/>
  <c r="F4" i="6" l="1"/>
  <c r="F5" i="6"/>
  <c r="F6" i="6"/>
  <c r="F7" i="6"/>
  <c r="F8" i="6"/>
  <c r="F9" i="6"/>
  <c r="F10" i="6"/>
  <c r="F11" i="6"/>
  <c r="F12" i="6"/>
  <c r="F3" i="6"/>
  <c r="D39" i="2" l="1"/>
  <c r="K18" i="27" l="1"/>
  <c r="K19" i="27"/>
  <c r="K20" i="27"/>
  <c r="K21" i="27"/>
  <c r="K22" i="27"/>
  <c r="K23" i="27"/>
  <c r="K24" i="27"/>
  <c r="K17" i="27"/>
  <c r="D18" i="27"/>
  <c r="D19" i="27"/>
  <c r="D20" i="27"/>
  <c r="D21" i="27"/>
  <c r="D22" i="27"/>
  <c r="D23" i="27"/>
  <c r="D24" i="27"/>
  <c r="D25" i="27"/>
  <c r="D26" i="27"/>
  <c r="D17" i="27"/>
  <c r="J4" i="27"/>
  <c r="J5" i="27"/>
  <c r="J6" i="27"/>
  <c r="J7" i="27"/>
  <c r="J8" i="27"/>
  <c r="J9" i="27"/>
  <c r="J10" i="27"/>
  <c r="J3" i="27"/>
  <c r="K16" i="25"/>
  <c r="K17" i="25"/>
  <c r="K18" i="25"/>
  <c r="K19" i="25"/>
  <c r="K20" i="25"/>
  <c r="K21" i="25"/>
  <c r="K22" i="25"/>
  <c r="K23" i="25"/>
  <c r="K15" i="25"/>
  <c r="E16" i="25"/>
  <c r="E17" i="25"/>
  <c r="E18" i="25"/>
  <c r="E19" i="25"/>
  <c r="E20" i="25"/>
  <c r="E21" i="25"/>
  <c r="E22" i="25"/>
  <c r="E23" i="25"/>
  <c r="E15" i="25"/>
  <c r="K4" i="25"/>
  <c r="K5" i="25"/>
  <c r="K6" i="25"/>
  <c r="K7" i="25"/>
  <c r="K8" i="25"/>
  <c r="K9" i="25"/>
  <c r="K10" i="25"/>
  <c r="K11" i="25"/>
  <c r="K3" i="25"/>
  <c r="E4" i="25"/>
  <c r="E5" i="25"/>
  <c r="E6" i="25"/>
  <c r="E7" i="25"/>
  <c r="E8" i="25"/>
  <c r="E9" i="25"/>
  <c r="E10" i="25"/>
  <c r="E11" i="25"/>
  <c r="E3" i="25"/>
  <c r="J28" i="24"/>
  <c r="J29" i="24"/>
  <c r="J30" i="24"/>
  <c r="J31" i="24"/>
  <c r="J32" i="24"/>
  <c r="J33" i="24"/>
  <c r="J27" i="24"/>
  <c r="D28" i="24"/>
  <c r="D29" i="24"/>
  <c r="D30" i="24"/>
  <c r="D31" i="24"/>
  <c r="D32" i="24"/>
  <c r="D33" i="24"/>
  <c r="D27" i="24"/>
  <c r="I17" i="24"/>
  <c r="I18" i="24"/>
  <c r="I19" i="24"/>
  <c r="I20" i="24"/>
  <c r="I21" i="24"/>
  <c r="I22" i="24"/>
  <c r="I23" i="24"/>
  <c r="I16" i="24"/>
  <c r="D17" i="24"/>
  <c r="D18" i="24"/>
  <c r="D19" i="24"/>
  <c r="D20" i="24"/>
  <c r="D21" i="24"/>
  <c r="D22" i="24"/>
  <c r="D23" i="24"/>
  <c r="D16" i="24"/>
  <c r="E4" i="24"/>
  <c r="E5" i="24"/>
  <c r="E6" i="24"/>
  <c r="E7" i="24"/>
  <c r="E8" i="24"/>
  <c r="E9" i="24"/>
  <c r="E10" i="24"/>
  <c r="E11" i="24"/>
  <c r="E12" i="24"/>
  <c r="I4" i="24"/>
  <c r="I5" i="24"/>
  <c r="I6" i="24"/>
  <c r="I7" i="24"/>
  <c r="I8" i="24"/>
  <c r="I9" i="24"/>
  <c r="I10" i="24"/>
  <c r="I11" i="24"/>
  <c r="I3" i="24"/>
  <c r="E3" i="24"/>
  <c r="I3" i="10"/>
  <c r="I4" i="10"/>
  <c r="I5" i="10"/>
  <c r="I6" i="10"/>
  <c r="I7" i="10"/>
  <c r="I8" i="10"/>
  <c r="I9" i="10"/>
  <c r="I14" i="10"/>
  <c r="I15" i="10"/>
  <c r="I16" i="10"/>
  <c r="I17" i="10"/>
  <c r="I13" i="10"/>
  <c r="D4" i="10"/>
  <c r="D5" i="10"/>
  <c r="D6" i="10"/>
  <c r="D7" i="10"/>
  <c r="D8" i="10"/>
  <c r="D9" i="10"/>
  <c r="D3" i="10"/>
  <c r="J16" i="22"/>
  <c r="J17" i="22"/>
  <c r="J18" i="22"/>
  <c r="J19" i="22"/>
  <c r="J20" i="22"/>
  <c r="J21" i="22"/>
  <c r="J22" i="22"/>
  <c r="J23" i="22"/>
  <c r="J24" i="22"/>
  <c r="J15" i="22"/>
  <c r="H28" i="21"/>
  <c r="D16" i="22"/>
  <c r="D17" i="22"/>
  <c r="D18" i="22"/>
  <c r="D19" i="22"/>
  <c r="D20" i="22"/>
  <c r="D21" i="22"/>
  <c r="D22" i="22"/>
  <c r="D23" i="22"/>
  <c r="D24" i="22"/>
  <c r="D15" i="22"/>
  <c r="J4" i="22"/>
  <c r="J5" i="22"/>
  <c r="J6" i="22"/>
  <c r="J7" i="22"/>
  <c r="J8" i="22"/>
  <c r="J9" i="22"/>
  <c r="J10" i="22"/>
  <c r="J11" i="22"/>
  <c r="J3" i="22"/>
  <c r="D4" i="22"/>
  <c r="D5" i="22"/>
  <c r="D6" i="22"/>
  <c r="D7" i="22"/>
  <c r="D8" i="22"/>
  <c r="D9" i="22"/>
  <c r="D10" i="22"/>
  <c r="D11" i="22"/>
  <c r="D3" i="22"/>
  <c r="A19" i="21"/>
  <c r="A20" i="21"/>
  <c r="A21" i="21"/>
  <c r="A22" i="21"/>
  <c r="A23" i="21"/>
  <c r="A24" i="21"/>
  <c r="A25" i="21"/>
  <c r="A26" i="21"/>
  <c r="A27" i="21"/>
  <c r="A18" i="21"/>
  <c r="C17" i="21"/>
  <c r="D17" i="21"/>
  <c r="B17" i="21"/>
  <c r="I4" i="21"/>
  <c r="I5" i="21"/>
  <c r="I6" i="21"/>
  <c r="I7" i="21"/>
  <c r="I8" i="21"/>
  <c r="I9" i="21"/>
  <c r="I3" i="21"/>
  <c r="D4" i="21"/>
  <c r="D5" i="21"/>
  <c r="D6" i="21"/>
  <c r="D7" i="21"/>
  <c r="D8" i="21"/>
  <c r="D9" i="21"/>
  <c r="D10" i="21"/>
  <c r="D3" i="21"/>
  <c r="J15" i="7"/>
  <c r="J16" i="7"/>
  <c r="J17" i="7"/>
  <c r="J18" i="7"/>
  <c r="J19" i="7"/>
  <c r="J20" i="7"/>
  <c r="J21" i="7"/>
  <c r="J22" i="7"/>
  <c r="J14" i="7"/>
  <c r="D15" i="7"/>
  <c r="D16" i="7"/>
  <c r="D17" i="7"/>
  <c r="D18" i="7"/>
  <c r="D19" i="7"/>
  <c r="D20" i="7"/>
  <c r="D21" i="7"/>
  <c r="D22" i="7"/>
  <c r="D14" i="7"/>
  <c r="D4" i="7"/>
  <c r="D5" i="7"/>
  <c r="D6" i="7"/>
  <c r="D7" i="7"/>
  <c r="D8" i="7"/>
  <c r="D9" i="7"/>
  <c r="D10" i="7"/>
  <c r="I4" i="7"/>
  <c r="I5" i="7"/>
  <c r="I6" i="7"/>
  <c r="I7" i="7"/>
  <c r="I8" i="7"/>
  <c r="I9" i="7"/>
  <c r="I10" i="7"/>
  <c r="I3" i="7"/>
  <c r="D3" i="7"/>
  <c r="J36" i="6"/>
  <c r="C34" i="6"/>
  <c r="K17" i="6"/>
  <c r="K18" i="6"/>
  <c r="K19" i="6"/>
  <c r="K20" i="6"/>
  <c r="K21" i="6"/>
  <c r="K22" i="6"/>
  <c r="K23" i="6"/>
  <c r="K24" i="6"/>
  <c r="K16" i="6"/>
  <c r="F17" i="6"/>
  <c r="F18" i="6"/>
  <c r="F19" i="6"/>
  <c r="F20" i="6"/>
  <c r="F21" i="6"/>
  <c r="F22" i="6"/>
  <c r="F23" i="6"/>
  <c r="F24" i="6"/>
  <c r="F16" i="6"/>
  <c r="L12" i="6"/>
  <c r="J29" i="5"/>
  <c r="J11" i="5"/>
  <c r="E24" i="5"/>
  <c r="K24" i="5"/>
  <c r="E30" i="5"/>
  <c r="D11" i="5" l="1"/>
  <c r="J16" i="4"/>
  <c r="J17" i="4"/>
  <c r="J18" i="4"/>
  <c r="J19" i="4"/>
  <c r="J20" i="4"/>
  <c r="J15" i="4"/>
  <c r="E16" i="4"/>
  <c r="E17" i="4"/>
  <c r="E18" i="4"/>
  <c r="E19" i="4"/>
  <c r="E20" i="4"/>
  <c r="E15" i="4"/>
  <c r="J4" i="4"/>
  <c r="J5" i="4"/>
  <c r="J6" i="4"/>
  <c r="J7" i="4"/>
  <c r="J8" i="4"/>
  <c r="J9" i="4"/>
  <c r="J10" i="4"/>
  <c r="J11" i="4"/>
  <c r="J3" i="4"/>
  <c r="D11" i="4"/>
  <c r="L25" i="3"/>
  <c r="E25" i="3"/>
  <c r="K12" i="3"/>
  <c r="L40" i="2"/>
  <c r="M25" i="2"/>
  <c r="E25" i="2"/>
  <c r="L11" i="2"/>
  <c r="E11" i="2"/>
  <c r="D23" i="1"/>
  <c r="D24" i="1"/>
  <c r="D25" i="1"/>
  <c r="D26" i="1"/>
  <c r="D27" i="1"/>
  <c r="D22" i="1"/>
  <c r="I13" i="1"/>
  <c r="I14" i="1"/>
  <c r="I15" i="1"/>
  <c r="I16" i="1"/>
  <c r="I17" i="1"/>
  <c r="I12" i="1"/>
  <c r="E14" i="1"/>
  <c r="E15" i="1"/>
  <c r="E16" i="1"/>
  <c r="E17" i="1"/>
  <c r="E13" i="1"/>
  <c r="I4" i="1"/>
  <c r="I5" i="1"/>
  <c r="I6" i="1"/>
  <c r="I7" i="1"/>
  <c r="I3" i="1"/>
  <c r="D4" i="1"/>
  <c r="D5" i="1"/>
  <c r="D6" i="1"/>
  <c r="D7" i="1"/>
  <c r="D8" i="1"/>
  <c r="D3" i="1"/>
  <c r="J24" i="27"/>
  <c r="J23" i="27"/>
  <c r="J22" i="27"/>
  <c r="J21" i="27"/>
  <c r="J20" i="27"/>
  <c r="J19" i="27"/>
  <c r="J18" i="27"/>
  <c r="J17" i="27"/>
  <c r="J23" i="25"/>
  <c r="J22" i="25"/>
  <c r="J21" i="25"/>
  <c r="J20" i="25"/>
  <c r="J19" i="25"/>
  <c r="J18" i="25"/>
  <c r="J17" i="25"/>
  <c r="J16" i="25"/>
  <c r="J15" i="25"/>
  <c r="E12" i="19"/>
  <c r="E11" i="19"/>
  <c r="E10" i="19"/>
  <c r="E9" i="19"/>
  <c r="E8" i="19"/>
  <c r="E7" i="19"/>
  <c r="E6" i="19"/>
  <c r="E5" i="19"/>
  <c r="E4" i="19"/>
  <c r="E3" i="19"/>
  <c r="K11" i="16"/>
  <c r="K10" i="16"/>
  <c r="K9" i="16"/>
  <c r="K8" i="16"/>
  <c r="K7" i="16"/>
  <c r="K6" i="16"/>
  <c r="K5" i="16"/>
  <c r="K4" i="16"/>
  <c r="K3" i="16"/>
  <c r="N37" i="15"/>
  <c r="N36" i="15"/>
  <c r="N35" i="15"/>
  <c r="N34" i="15"/>
  <c r="N33" i="15"/>
  <c r="N32" i="15"/>
  <c r="N31" i="15"/>
  <c r="N30" i="15"/>
  <c r="N29" i="15"/>
  <c r="L10" i="15"/>
  <c r="L9" i="15"/>
  <c r="L8" i="15"/>
  <c r="L7" i="15"/>
  <c r="L6" i="15"/>
  <c r="L5" i="15"/>
  <c r="L4" i="15"/>
  <c r="L3" i="15"/>
  <c r="G8" i="14"/>
  <c r="C8" i="14"/>
  <c r="C7" i="14"/>
  <c r="C6" i="14"/>
  <c r="C5" i="14"/>
  <c r="C4" i="14"/>
  <c r="C3" i="14"/>
  <c r="J24" i="13" l="1"/>
  <c r="J23" i="13"/>
  <c r="J22" i="13"/>
  <c r="J21" i="13"/>
  <c r="J20" i="13"/>
  <c r="J19" i="13"/>
  <c r="J18" i="13"/>
  <c r="J17" i="13"/>
  <c r="J23" i="12"/>
  <c r="J22" i="12"/>
  <c r="J21" i="12"/>
  <c r="J20" i="12"/>
  <c r="J19" i="12"/>
  <c r="J18" i="12"/>
  <c r="J17" i="12"/>
  <c r="J16" i="12"/>
  <c r="J15" i="12"/>
  <c r="E12" i="6"/>
  <c r="E11" i="6"/>
  <c r="E10" i="6"/>
  <c r="E9" i="6"/>
  <c r="E8" i="6"/>
  <c r="E7" i="6"/>
  <c r="E6" i="6"/>
  <c r="E5" i="6"/>
  <c r="E4" i="6"/>
  <c r="E3" i="6"/>
  <c r="K11" i="3"/>
  <c r="K10" i="3"/>
  <c r="K9" i="3"/>
  <c r="K8" i="3"/>
  <c r="K7" i="3"/>
  <c r="K6" i="3"/>
  <c r="K5" i="3"/>
  <c r="K4" i="3"/>
  <c r="K3" i="3"/>
  <c r="N37" i="2"/>
  <c r="N36" i="2"/>
  <c r="N35" i="2"/>
  <c r="N34" i="2"/>
  <c r="N33" i="2"/>
  <c r="N32" i="2"/>
  <c r="N31" i="2"/>
  <c r="N30" i="2"/>
  <c r="N29" i="2"/>
  <c r="L10" i="2"/>
  <c r="L9" i="2"/>
  <c r="L8" i="2"/>
  <c r="L7" i="2"/>
  <c r="L6" i="2"/>
  <c r="L5" i="2"/>
  <c r="L4" i="2"/>
  <c r="L3" i="2"/>
  <c r="G8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<sst xmlns="http://schemas.openxmlformats.org/spreadsheetml/2006/main" count="2873" uniqueCount="1151">
  <si>
    <t xml:space="preserve">[표1] </t>
    <phoneticPr fontId="4" type="noConversion"/>
  </si>
  <si>
    <t>품목별 판매 현황</t>
  </si>
  <si>
    <t xml:space="preserve">[표2] </t>
    <phoneticPr fontId="4" type="noConversion"/>
  </si>
  <si>
    <t>고공 낙하 회수별 인원</t>
  </si>
  <si>
    <t>품목명</t>
    <phoneticPr fontId="4" type="noConversion"/>
  </si>
  <si>
    <t>판매수량</t>
    <phoneticPr fontId="4" type="noConversion"/>
  </si>
  <si>
    <t>판매금액</t>
    <phoneticPr fontId="4" type="noConversion"/>
  </si>
  <si>
    <t>이익금액</t>
    <phoneticPr fontId="4" type="noConversion"/>
  </si>
  <si>
    <t>낙하회수</t>
    <phoneticPr fontId="4" type="noConversion"/>
  </si>
  <si>
    <t>인원수</t>
    <phoneticPr fontId="4" type="noConversion"/>
  </si>
  <si>
    <t>누적인원수</t>
    <phoneticPr fontId="4" type="noConversion"/>
  </si>
  <si>
    <t>누계비율</t>
    <phoneticPr fontId="4" type="noConversion"/>
  </si>
  <si>
    <t>샤프</t>
    <phoneticPr fontId="4" type="noConversion"/>
  </si>
  <si>
    <t>3000이상</t>
    <phoneticPr fontId="4" type="noConversion"/>
  </si>
  <si>
    <t>연필</t>
    <phoneticPr fontId="4" type="noConversion"/>
  </si>
  <si>
    <t>1000이상</t>
    <phoneticPr fontId="4" type="noConversion"/>
  </si>
  <si>
    <t>만년필</t>
    <phoneticPr fontId="4" type="noConversion"/>
  </si>
  <si>
    <t>500이상</t>
    <phoneticPr fontId="4" type="noConversion"/>
  </si>
  <si>
    <t>색연필</t>
    <phoneticPr fontId="4" type="noConversion"/>
  </si>
  <si>
    <t>100이상</t>
    <phoneticPr fontId="4" type="noConversion"/>
  </si>
  <si>
    <t>볼펜</t>
    <phoneticPr fontId="4" type="noConversion"/>
  </si>
  <si>
    <t>10이상</t>
    <phoneticPr fontId="4" type="noConversion"/>
  </si>
  <si>
    <t>플러스펜</t>
    <phoneticPr fontId="4" type="noConversion"/>
  </si>
  <si>
    <t>합계</t>
    <phoneticPr fontId="4" type="noConversion"/>
  </si>
  <si>
    <t>마진율</t>
    <phoneticPr fontId="4" type="noConversion"/>
  </si>
  <si>
    <t xml:space="preserve">[표4] </t>
    <phoneticPr fontId="4" type="noConversion"/>
  </si>
  <si>
    <t>펜던트 판매 현황</t>
  </si>
  <si>
    <t xml:space="preserve">[표3] </t>
    <phoneticPr fontId="4" type="noConversion"/>
  </si>
  <si>
    <t>사원별 수당지급현황</t>
  </si>
  <si>
    <t>월</t>
    <phoneticPr fontId="4" type="noConversion"/>
  </si>
  <si>
    <t>판매량</t>
    <phoneticPr fontId="4" type="noConversion"/>
  </si>
  <si>
    <t>매출총액</t>
    <phoneticPr fontId="4" type="noConversion"/>
  </si>
  <si>
    <t>성명</t>
    <phoneticPr fontId="4" type="noConversion"/>
  </si>
  <si>
    <t>근무년수</t>
    <phoneticPr fontId="4" type="noConversion"/>
  </si>
  <si>
    <t>기본급</t>
    <phoneticPr fontId="4" type="noConversion"/>
  </si>
  <si>
    <t>상여비율</t>
    <phoneticPr fontId="4" type="noConversion"/>
  </si>
  <si>
    <t>수당</t>
    <phoneticPr fontId="4" type="noConversion"/>
  </si>
  <si>
    <t>1월</t>
    <phoneticPr fontId="4" type="noConversion"/>
  </si>
  <si>
    <t>홍기재</t>
    <phoneticPr fontId="4" type="noConversion"/>
  </si>
  <si>
    <t>2월</t>
    <phoneticPr fontId="4" type="noConversion"/>
  </si>
  <si>
    <t>이민찬</t>
    <phoneticPr fontId="4" type="noConversion"/>
  </si>
  <si>
    <t>3월</t>
    <phoneticPr fontId="4" type="noConversion"/>
  </si>
  <si>
    <t>가영수</t>
    <phoneticPr fontId="4" type="noConversion"/>
  </si>
  <si>
    <t>4월</t>
    <phoneticPr fontId="4" type="noConversion"/>
  </si>
  <si>
    <t>류민완</t>
    <phoneticPr fontId="4" type="noConversion"/>
  </si>
  <si>
    <t>5월</t>
    <phoneticPr fontId="4" type="noConversion"/>
  </si>
  <si>
    <t>강술래</t>
    <phoneticPr fontId="4" type="noConversion"/>
  </si>
  <si>
    <t>6월</t>
    <phoneticPr fontId="4" type="noConversion"/>
  </si>
  <si>
    <t>추가 상여율</t>
    <phoneticPr fontId="4" type="noConversion"/>
  </si>
  <si>
    <t>단가</t>
    <phoneticPr fontId="4" type="noConversion"/>
  </si>
  <si>
    <t>할인율</t>
    <phoneticPr fontId="4" type="noConversion"/>
  </si>
  <si>
    <t xml:space="preserve">[표5] </t>
    <phoneticPr fontId="4" type="noConversion"/>
  </si>
  <si>
    <t>도서 포인트 관리</t>
  </si>
  <si>
    <t>대출자</t>
    <phoneticPr fontId="4" type="noConversion"/>
  </si>
  <si>
    <t>대출권수</t>
    <phoneticPr fontId="4" type="noConversion"/>
  </si>
  <si>
    <t>연체권수</t>
    <phoneticPr fontId="4" type="noConversion"/>
  </si>
  <si>
    <t>포인트 총계</t>
    <phoneticPr fontId="4" type="noConversion"/>
  </si>
  <si>
    <t>이원섭</t>
    <phoneticPr fontId="4" type="noConversion"/>
  </si>
  <si>
    <t>최준기</t>
    <phoneticPr fontId="4" type="noConversion"/>
  </si>
  <si>
    <t>구현서</t>
    <phoneticPr fontId="4" type="noConversion"/>
  </si>
  <si>
    <t>안유경</t>
    <phoneticPr fontId="4" type="noConversion"/>
  </si>
  <si>
    <t>강흥석</t>
    <phoneticPr fontId="4" type="noConversion"/>
  </si>
  <si>
    <t>조용욱</t>
    <phoneticPr fontId="4" type="noConversion"/>
  </si>
  <si>
    <t>대출포인트</t>
    <phoneticPr fontId="4" type="noConversion"/>
  </si>
  <si>
    <t>연체포인트</t>
    <phoneticPr fontId="4" type="noConversion"/>
  </si>
  <si>
    <t>[표1]</t>
    <phoneticPr fontId="2" type="noConversion"/>
  </si>
  <si>
    <t>공연 예매 현황</t>
    <phoneticPr fontId="2" type="noConversion"/>
  </si>
  <si>
    <t>[표2]</t>
    <phoneticPr fontId="2" type="noConversion"/>
  </si>
  <si>
    <t>영업사원별 판매현황</t>
    <phoneticPr fontId="2" type="noConversion"/>
  </si>
  <si>
    <t>구분</t>
    <phoneticPr fontId="2" type="noConversion"/>
  </si>
  <si>
    <t>공연명</t>
    <phoneticPr fontId="2" type="noConversion"/>
  </si>
  <si>
    <t>공연장</t>
    <phoneticPr fontId="2" type="noConversion"/>
  </si>
  <si>
    <t>공연료</t>
    <phoneticPr fontId="2" type="noConversion"/>
  </si>
  <si>
    <t>예매량</t>
    <phoneticPr fontId="2" type="noConversion"/>
  </si>
  <si>
    <t>지점</t>
    <phoneticPr fontId="2" type="noConversion"/>
  </si>
  <si>
    <t>사원명</t>
    <phoneticPr fontId="2" type="noConversion"/>
  </si>
  <si>
    <t>판매량</t>
    <phoneticPr fontId="2" type="noConversion"/>
  </si>
  <si>
    <t>판매총액</t>
    <phoneticPr fontId="2" type="noConversion"/>
  </si>
  <si>
    <t>연극</t>
    <phoneticPr fontId="2" type="noConversion"/>
  </si>
  <si>
    <t>우리상회</t>
    <phoneticPr fontId="2" type="noConversion"/>
  </si>
  <si>
    <t>호소극장</t>
    <phoneticPr fontId="2" type="noConversion"/>
  </si>
  <si>
    <t>강남</t>
    <phoneticPr fontId="2" type="noConversion"/>
  </si>
  <si>
    <t>김민서</t>
    <phoneticPr fontId="2" type="noConversion"/>
  </si>
  <si>
    <t>무용</t>
    <phoneticPr fontId="2" type="noConversion"/>
  </si>
  <si>
    <t>마타하리</t>
    <phoneticPr fontId="2" type="noConversion"/>
  </si>
  <si>
    <t>무용공간</t>
    <phoneticPr fontId="2" type="noConversion"/>
  </si>
  <si>
    <t>강남</t>
    <phoneticPr fontId="2" type="noConversion"/>
  </si>
  <si>
    <t>김강후</t>
    <phoneticPr fontId="2" type="noConversion"/>
  </si>
  <si>
    <t>골든타임</t>
    <phoneticPr fontId="2" type="noConversion"/>
  </si>
  <si>
    <t>상상마당</t>
    <phoneticPr fontId="2" type="noConversion"/>
  </si>
  <si>
    <t>이지우</t>
    <phoneticPr fontId="2" type="noConversion"/>
  </si>
  <si>
    <t>뮤지컬</t>
    <phoneticPr fontId="2" type="noConversion"/>
  </si>
  <si>
    <t>굿마스크</t>
    <phoneticPr fontId="2" type="noConversion"/>
  </si>
  <si>
    <t>아트센터</t>
    <phoneticPr fontId="2" type="noConversion"/>
  </si>
  <si>
    <t>강예준</t>
    <phoneticPr fontId="2" type="noConversion"/>
  </si>
  <si>
    <t>바야데르</t>
    <phoneticPr fontId="2" type="noConversion"/>
  </si>
  <si>
    <t>더춤</t>
    <phoneticPr fontId="2" type="noConversion"/>
  </si>
  <si>
    <t>강북</t>
  </si>
  <si>
    <t>최건우</t>
    <phoneticPr fontId="2" type="noConversion"/>
  </si>
  <si>
    <t>시크릿</t>
    <phoneticPr fontId="2" type="noConversion"/>
  </si>
  <si>
    <t>롤링홀</t>
    <phoneticPr fontId="2" type="noConversion"/>
  </si>
  <si>
    <t>&lt;조건&gt;</t>
    <phoneticPr fontId="2" type="noConversion"/>
  </si>
  <si>
    <t>성우진</t>
    <phoneticPr fontId="2" type="noConversion"/>
  </si>
  <si>
    <t>라이온킹</t>
    <phoneticPr fontId="2" type="noConversion"/>
  </si>
  <si>
    <t>늘아트홀</t>
    <phoneticPr fontId="2" type="noConversion"/>
  </si>
  <si>
    <t>신서영</t>
    <phoneticPr fontId="2" type="noConversion"/>
  </si>
  <si>
    <t>무용</t>
    <phoneticPr fontId="2" type="noConversion"/>
  </si>
  <si>
    <t>돈키호테</t>
    <phoneticPr fontId="2" type="noConversion"/>
  </si>
  <si>
    <t>수무용</t>
    <phoneticPr fontId="2" type="noConversion"/>
  </si>
  <si>
    <t>이민재</t>
    <phoneticPr fontId="2" type="noConversion"/>
  </si>
  <si>
    <t>무용 예매량 합계</t>
    <phoneticPr fontId="2" type="noConversion"/>
  </si>
  <si>
    <t>강북 우수사원 판매총액 평균</t>
    <phoneticPr fontId="2" type="noConversion"/>
  </si>
  <si>
    <t>[표3]</t>
    <phoneticPr fontId="2" type="noConversion"/>
  </si>
  <si>
    <t>봉사활동 지원 현황</t>
    <phoneticPr fontId="2" type="noConversion"/>
  </si>
  <si>
    <t>[표4]</t>
    <phoneticPr fontId="2" type="noConversion"/>
  </si>
  <si>
    <t>스마트폰 가격표</t>
    <phoneticPr fontId="2" type="noConversion"/>
  </si>
  <si>
    <t>부서명</t>
    <phoneticPr fontId="2" type="noConversion"/>
  </si>
  <si>
    <t>사랑의집</t>
    <phoneticPr fontId="2" type="noConversion"/>
  </si>
  <si>
    <t>나눔의집</t>
    <phoneticPr fontId="2" type="noConversion"/>
  </si>
  <si>
    <t>평화의집</t>
    <phoneticPr fontId="2" type="noConversion"/>
  </si>
  <si>
    <t>제품코드</t>
    <phoneticPr fontId="2" type="noConversion"/>
  </si>
  <si>
    <t>제조회사</t>
    <phoneticPr fontId="2" type="noConversion"/>
  </si>
  <si>
    <t>저장용량</t>
    <phoneticPr fontId="2" type="noConversion"/>
  </si>
  <si>
    <t>판매가</t>
    <phoneticPr fontId="2" type="noConversion"/>
  </si>
  <si>
    <t>장서희</t>
    <phoneticPr fontId="2" type="noConversion"/>
  </si>
  <si>
    <t>영업부</t>
    <phoneticPr fontId="2" type="noConversion"/>
  </si>
  <si>
    <t>O</t>
    <phoneticPr fontId="2" type="noConversion"/>
  </si>
  <si>
    <t>O</t>
    <phoneticPr fontId="2" type="noConversion"/>
  </si>
  <si>
    <t>GA-100</t>
    <phoneticPr fontId="2" type="noConversion"/>
  </si>
  <si>
    <t>상공전자</t>
    <phoneticPr fontId="2" type="noConversion"/>
  </si>
  <si>
    <t>64GB</t>
    <phoneticPr fontId="2" type="noConversion"/>
  </si>
  <si>
    <t>유일우</t>
    <phoneticPr fontId="2" type="noConversion"/>
  </si>
  <si>
    <t>홍보부</t>
    <phoneticPr fontId="2" type="noConversion"/>
  </si>
  <si>
    <t>IP-100</t>
    <phoneticPr fontId="2" type="noConversion"/>
  </si>
  <si>
    <t>대한전자</t>
    <phoneticPr fontId="2" type="noConversion"/>
  </si>
  <si>
    <t>32GB</t>
    <phoneticPr fontId="2" type="noConversion"/>
  </si>
  <si>
    <t>전지영</t>
    <phoneticPr fontId="2" type="noConversion"/>
  </si>
  <si>
    <t>기획부</t>
    <phoneticPr fontId="2" type="noConversion"/>
  </si>
  <si>
    <t>O</t>
    <phoneticPr fontId="2" type="noConversion"/>
  </si>
  <si>
    <t>NO-100</t>
    <phoneticPr fontId="2" type="noConversion"/>
  </si>
  <si>
    <t>우리전자</t>
    <phoneticPr fontId="2" type="noConversion"/>
  </si>
  <si>
    <t>조규철</t>
    <phoneticPr fontId="2" type="noConversion"/>
  </si>
  <si>
    <t>IP-200</t>
    <phoneticPr fontId="2" type="noConversion"/>
  </si>
  <si>
    <t>대한전자</t>
    <phoneticPr fontId="2" type="noConversion"/>
  </si>
  <si>
    <t>128GB</t>
    <phoneticPr fontId="2" type="noConversion"/>
  </si>
  <si>
    <t>정종인</t>
    <phoneticPr fontId="2" type="noConversion"/>
  </si>
  <si>
    <t>영업부</t>
    <phoneticPr fontId="2" type="noConversion"/>
  </si>
  <si>
    <t>GA-200</t>
    <phoneticPr fontId="2" type="noConversion"/>
  </si>
  <si>
    <t>상공전자</t>
    <phoneticPr fontId="2" type="noConversion"/>
  </si>
  <si>
    <t>민지혜</t>
    <phoneticPr fontId="2" type="noConversion"/>
  </si>
  <si>
    <t>홍보부</t>
    <phoneticPr fontId="2" type="noConversion"/>
  </si>
  <si>
    <t>IP-300</t>
    <phoneticPr fontId="2" type="noConversion"/>
  </si>
  <si>
    <t>64GB</t>
    <phoneticPr fontId="2" type="noConversion"/>
  </si>
  <si>
    <t>김종욱</t>
    <phoneticPr fontId="2" type="noConversion"/>
  </si>
  <si>
    <t>O</t>
    <phoneticPr fontId="2" type="noConversion"/>
  </si>
  <si>
    <t>NO-300</t>
    <phoneticPr fontId="2" type="noConversion"/>
  </si>
  <si>
    <t>우리전자</t>
    <phoneticPr fontId="2" type="noConversion"/>
  </si>
  <si>
    <t>32GB</t>
    <phoneticPr fontId="2" type="noConversion"/>
  </si>
  <si>
    <t>이신숙</t>
    <phoneticPr fontId="2" type="noConversion"/>
  </si>
  <si>
    <t>IP-400</t>
    <phoneticPr fontId="2" type="noConversion"/>
  </si>
  <si>
    <t>대한전자</t>
    <phoneticPr fontId="2" type="noConversion"/>
  </si>
  <si>
    <t>박원준</t>
    <phoneticPr fontId="2" type="noConversion"/>
  </si>
  <si>
    <t>GA-300</t>
    <phoneticPr fontId="2" type="noConversion"/>
  </si>
  <si>
    <t>128GB</t>
    <phoneticPr fontId="2" type="noConversion"/>
  </si>
  <si>
    <t>강지선</t>
    <phoneticPr fontId="2" type="noConversion"/>
  </si>
  <si>
    <t>NO-400</t>
    <phoneticPr fontId="2" type="noConversion"/>
  </si>
  <si>
    <t>상공전자 최고-최저가 차이</t>
    <phoneticPr fontId="2" type="noConversion"/>
  </si>
  <si>
    <t>사랑의집에 지원한 홍보부 사원수</t>
    <phoneticPr fontId="2" type="noConversion"/>
  </si>
  <si>
    <t>GA-400</t>
    <phoneticPr fontId="2" type="noConversion"/>
  </si>
  <si>
    <t>[표5]</t>
    <phoneticPr fontId="2" type="noConversion"/>
  </si>
  <si>
    <t>경기도 동호회 현황</t>
    <phoneticPr fontId="2" type="noConversion"/>
  </si>
  <si>
    <t>[표6]</t>
    <phoneticPr fontId="2" type="noConversion"/>
  </si>
  <si>
    <t>중간고사 성적표</t>
    <phoneticPr fontId="2" type="noConversion"/>
  </si>
  <si>
    <t>회원명</t>
    <phoneticPr fontId="2" type="noConversion"/>
  </si>
  <si>
    <t>성별</t>
    <phoneticPr fontId="2" type="noConversion"/>
  </si>
  <si>
    <t>지역</t>
    <phoneticPr fontId="2" type="noConversion"/>
  </si>
  <si>
    <t>가입년도</t>
    <phoneticPr fontId="2" type="noConversion"/>
  </si>
  <si>
    <t>성명</t>
    <phoneticPr fontId="2" type="noConversion"/>
  </si>
  <si>
    <t>국어</t>
    <phoneticPr fontId="4" type="noConversion"/>
  </si>
  <si>
    <t>영어</t>
    <phoneticPr fontId="4" type="noConversion"/>
  </si>
  <si>
    <t>수학</t>
    <phoneticPr fontId="2" type="noConversion"/>
  </si>
  <si>
    <t>총점</t>
    <phoneticPr fontId="2" type="noConversion"/>
  </si>
  <si>
    <t>김지인</t>
    <phoneticPr fontId="2" type="noConversion"/>
  </si>
  <si>
    <t>여</t>
    <phoneticPr fontId="2" type="noConversion"/>
  </si>
  <si>
    <t>안산</t>
    <phoneticPr fontId="2" type="noConversion"/>
  </si>
  <si>
    <t>이용해</t>
    <phoneticPr fontId="2" type="noConversion"/>
  </si>
  <si>
    <t>여</t>
    <phoneticPr fontId="2" type="noConversion"/>
  </si>
  <si>
    <t>조명철</t>
    <phoneticPr fontId="2" type="noConversion"/>
  </si>
  <si>
    <t>남</t>
    <phoneticPr fontId="2" type="noConversion"/>
  </si>
  <si>
    <t>수원</t>
    <phoneticPr fontId="2" type="noConversion"/>
  </si>
  <si>
    <t>왕고집</t>
    <phoneticPr fontId="2" type="noConversion"/>
  </si>
  <si>
    <t>최윤희</t>
    <phoneticPr fontId="2" type="noConversion"/>
  </si>
  <si>
    <t>안면상</t>
    <phoneticPr fontId="2" type="noConversion"/>
  </si>
  <si>
    <t>원미경</t>
    <phoneticPr fontId="2" type="noConversion"/>
  </si>
  <si>
    <t>시흥</t>
    <phoneticPr fontId="2" type="noConversion"/>
  </si>
  <si>
    <t>경운기</t>
    <phoneticPr fontId="2" type="noConversion"/>
  </si>
  <si>
    <t>남</t>
    <phoneticPr fontId="2" type="noConversion"/>
  </si>
  <si>
    <t>황만수</t>
    <phoneticPr fontId="2" type="noConversion"/>
  </si>
  <si>
    <t>김치국</t>
    <phoneticPr fontId="2" type="noConversion"/>
  </si>
  <si>
    <t>조현우</t>
    <phoneticPr fontId="2" type="noConversion"/>
  </si>
  <si>
    <t>남</t>
    <phoneticPr fontId="2" type="noConversion"/>
  </si>
  <si>
    <t>화성</t>
    <phoneticPr fontId="2" type="noConversion"/>
  </si>
  <si>
    <t>오지람</t>
    <phoneticPr fontId="2" type="noConversion"/>
  </si>
  <si>
    <t>박예진</t>
    <phoneticPr fontId="2" type="noConversion"/>
  </si>
  <si>
    <t>안양</t>
    <phoneticPr fontId="2" type="noConversion"/>
  </si>
  <si>
    <t>최고운</t>
    <phoneticPr fontId="2" type="noConversion"/>
  </si>
  <si>
    <t>유선호</t>
    <phoneticPr fontId="2" type="noConversion"/>
  </si>
  <si>
    <t>남달리</t>
    <phoneticPr fontId="2" type="noConversion"/>
  </si>
  <si>
    <t>김환섭</t>
    <phoneticPr fontId="2" type="noConversion"/>
  </si>
  <si>
    <t>오심판</t>
    <phoneticPr fontId="2" type="noConversion"/>
  </si>
  <si>
    <t>윤정희</t>
    <phoneticPr fontId="2" type="noConversion"/>
  </si>
  <si>
    <t>수원</t>
    <phoneticPr fontId="2" type="noConversion"/>
  </si>
  <si>
    <t>안산 회원수</t>
    <phoneticPr fontId="2" type="noConversion"/>
  </si>
  <si>
    <t>조건에 맞는 학생의 총점 평균</t>
    <phoneticPr fontId="2" type="noConversion"/>
  </si>
  <si>
    <t>[표1]</t>
    <phoneticPr fontId="2" type="noConversion"/>
  </si>
  <si>
    <t>[표2]</t>
    <phoneticPr fontId="2" type="noConversion"/>
  </si>
  <si>
    <t>제품 판매 현황</t>
    <phoneticPr fontId="2" type="noConversion"/>
  </si>
  <si>
    <t>직급</t>
    <phoneticPr fontId="2" type="noConversion"/>
  </si>
  <si>
    <t>호봉</t>
    <phoneticPr fontId="2" type="noConversion"/>
  </si>
  <si>
    <t>기본급</t>
    <phoneticPr fontId="2" type="noConversion"/>
  </si>
  <si>
    <t>구분</t>
    <phoneticPr fontId="2" type="noConversion"/>
  </si>
  <si>
    <t>제품명</t>
    <phoneticPr fontId="2" type="noConversion"/>
  </si>
  <si>
    <t>판매가</t>
    <phoneticPr fontId="2" type="noConversion"/>
  </si>
  <si>
    <t>판매총액</t>
    <phoneticPr fontId="2" type="noConversion"/>
  </si>
  <si>
    <t>과장</t>
    <phoneticPr fontId="2" type="noConversion"/>
  </si>
  <si>
    <t>미술</t>
    <phoneticPr fontId="2" type="noConversion"/>
  </si>
  <si>
    <t>붓</t>
    <phoneticPr fontId="2" type="noConversion"/>
  </si>
  <si>
    <t>과장</t>
    <phoneticPr fontId="2" type="noConversion"/>
  </si>
  <si>
    <t>음악</t>
    <phoneticPr fontId="2" type="noConversion"/>
  </si>
  <si>
    <t>멜로디언</t>
    <phoneticPr fontId="2" type="noConversion"/>
  </si>
  <si>
    <t>체육</t>
    <phoneticPr fontId="2" type="noConversion"/>
  </si>
  <si>
    <t>훌라후프</t>
    <phoneticPr fontId="2" type="noConversion"/>
  </si>
  <si>
    <t>대리</t>
    <phoneticPr fontId="2" type="noConversion"/>
  </si>
  <si>
    <t>음악</t>
    <phoneticPr fontId="2" type="noConversion"/>
  </si>
  <si>
    <t>탬버린</t>
    <phoneticPr fontId="2" type="noConversion"/>
  </si>
  <si>
    <t>파스텔</t>
    <phoneticPr fontId="2" type="noConversion"/>
  </si>
  <si>
    <t>대리</t>
    <phoneticPr fontId="2" type="noConversion"/>
  </si>
  <si>
    <t>축구공</t>
    <phoneticPr fontId="2" type="noConversion"/>
  </si>
  <si>
    <t>사원</t>
    <phoneticPr fontId="2" type="noConversion"/>
  </si>
  <si>
    <t>리코더</t>
    <phoneticPr fontId="2" type="noConversion"/>
  </si>
  <si>
    <t>체육</t>
    <phoneticPr fontId="2" type="noConversion"/>
  </si>
  <si>
    <t>줄넘기</t>
    <phoneticPr fontId="2" type="noConversion"/>
  </si>
  <si>
    <t>미술</t>
    <phoneticPr fontId="2" type="noConversion"/>
  </si>
  <si>
    <t>물감</t>
    <phoneticPr fontId="2" type="noConversion"/>
  </si>
  <si>
    <t>사원</t>
    <phoneticPr fontId="2" type="noConversion"/>
  </si>
  <si>
    <t>음악용품 판매총액 합계</t>
    <phoneticPr fontId="2" type="noConversion"/>
  </si>
  <si>
    <t>[표3]</t>
    <phoneticPr fontId="2" type="noConversion"/>
  </si>
  <si>
    <t>고객별 구입 현황</t>
    <phoneticPr fontId="2" type="noConversion"/>
  </si>
  <si>
    <t>[표4]</t>
    <phoneticPr fontId="2" type="noConversion"/>
  </si>
  <si>
    <t>영화예매 현황</t>
    <phoneticPr fontId="2" type="noConversion"/>
  </si>
  <si>
    <t>고객명</t>
    <phoneticPr fontId="2" type="noConversion"/>
  </si>
  <si>
    <t>성별</t>
    <phoneticPr fontId="2" type="noConversion"/>
  </si>
  <si>
    <t>등급</t>
    <phoneticPr fontId="2" type="noConversion"/>
  </si>
  <si>
    <t>구입수량</t>
    <phoneticPr fontId="2" type="noConversion"/>
  </si>
  <si>
    <t>구입총액</t>
    <phoneticPr fontId="2" type="noConversion"/>
  </si>
  <si>
    <t>영화명</t>
    <phoneticPr fontId="2" type="noConversion"/>
  </si>
  <si>
    <t>장르</t>
    <phoneticPr fontId="2" type="noConversion"/>
  </si>
  <si>
    <t>관람등급</t>
    <phoneticPr fontId="2" type="noConversion"/>
  </si>
  <si>
    <t>누적 예매량</t>
    <phoneticPr fontId="2" type="noConversion"/>
  </si>
  <si>
    <t>일간</t>
    <phoneticPr fontId="2" type="noConversion"/>
  </si>
  <si>
    <t>허영욱</t>
    <phoneticPr fontId="2" type="noConversion"/>
  </si>
  <si>
    <t>남</t>
    <phoneticPr fontId="2" type="noConversion"/>
  </si>
  <si>
    <t>골드</t>
    <phoneticPr fontId="2" type="noConversion"/>
  </si>
  <si>
    <t>생일</t>
    <phoneticPr fontId="2" type="noConversion"/>
  </si>
  <si>
    <t>드라마</t>
    <phoneticPr fontId="2" type="noConversion"/>
  </si>
  <si>
    <t>전체</t>
    <phoneticPr fontId="2" type="noConversion"/>
  </si>
  <si>
    <t>최주원</t>
    <phoneticPr fontId="2" type="noConversion"/>
  </si>
  <si>
    <t>여</t>
    <phoneticPr fontId="2" type="noConversion"/>
  </si>
  <si>
    <t>일반</t>
    <phoneticPr fontId="2" type="noConversion"/>
  </si>
  <si>
    <t>샤잠</t>
    <phoneticPr fontId="2" type="noConversion"/>
  </si>
  <si>
    <t>판타지</t>
    <phoneticPr fontId="2" type="noConversion"/>
  </si>
  <si>
    <t>12세이상</t>
    <phoneticPr fontId="2" type="noConversion"/>
  </si>
  <si>
    <t>이수학</t>
    <phoneticPr fontId="2" type="noConversion"/>
  </si>
  <si>
    <t>골드</t>
    <phoneticPr fontId="2" type="noConversion"/>
  </si>
  <si>
    <t>돈</t>
    <phoneticPr fontId="2" type="noConversion"/>
  </si>
  <si>
    <t>범죄</t>
    <phoneticPr fontId="2" type="noConversion"/>
  </si>
  <si>
    <t>15세이상</t>
    <phoneticPr fontId="2" type="noConversion"/>
  </si>
  <si>
    <t>안혜경</t>
    <phoneticPr fontId="2" type="noConversion"/>
  </si>
  <si>
    <t>골드</t>
    <phoneticPr fontId="2" type="noConversion"/>
  </si>
  <si>
    <t>어스</t>
    <phoneticPr fontId="2" type="noConversion"/>
  </si>
  <si>
    <t>스릴러</t>
    <phoneticPr fontId="2" type="noConversion"/>
  </si>
  <si>
    <t>김신성</t>
    <phoneticPr fontId="2" type="noConversion"/>
  </si>
  <si>
    <t>VIP</t>
    <phoneticPr fontId="2" type="noConversion"/>
  </si>
  <si>
    <t>장난스런 키스</t>
    <phoneticPr fontId="2" type="noConversion"/>
  </si>
  <si>
    <t>로맨스</t>
    <phoneticPr fontId="2" type="noConversion"/>
  </si>
  <si>
    <t>12세이상</t>
    <phoneticPr fontId="2" type="noConversion"/>
  </si>
  <si>
    <t>양의정</t>
    <phoneticPr fontId="2" type="noConversion"/>
  </si>
  <si>
    <t>일반</t>
    <phoneticPr fontId="2" type="noConversion"/>
  </si>
  <si>
    <t>캡틴 마블</t>
    <phoneticPr fontId="2" type="noConversion"/>
  </si>
  <si>
    <t>액션</t>
    <phoneticPr fontId="2" type="noConversion"/>
  </si>
  <si>
    <t>김태희</t>
    <phoneticPr fontId="2" type="noConversion"/>
  </si>
  <si>
    <t>한강에게</t>
    <phoneticPr fontId="2" type="noConversion"/>
  </si>
  <si>
    <t>15세이상</t>
    <phoneticPr fontId="2" type="noConversion"/>
  </si>
  <si>
    <t>선기섭</t>
    <phoneticPr fontId="2" type="noConversion"/>
  </si>
  <si>
    <t>텀보</t>
    <phoneticPr fontId="2" type="noConversion"/>
  </si>
  <si>
    <t>판타지</t>
    <phoneticPr fontId="2" type="noConversion"/>
  </si>
  <si>
    <t>전체</t>
    <phoneticPr fontId="2" type="noConversion"/>
  </si>
  <si>
    <t>정신영</t>
    <phoneticPr fontId="2" type="noConversion"/>
  </si>
  <si>
    <t>러브리스</t>
    <phoneticPr fontId="2" type="noConversion"/>
  </si>
  <si>
    <t>드라마</t>
    <phoneticPr fontId="2" type="noConversion"/>
  </si>
  <si>
    <t>드라마-15세이상 일간 합계</t>
    <phoneticPr fontId="2" type="noConversion"/>
  </si>
  <si>
    <t>구입빈도 높은 고객의 구입총액 합계</t>
    <phoneticPr fontId="2" type="noConversion"/>
  </si>
  <si>
    <t>콜레트</t>
    <phoneticPr fontId="2" type="noConversion"/>
  </si>
  <si>
    <t>과일출고현황</t>
    <phoneticPr fontId="2" type="noConversion"/>
  </si>
  <si>
    <t>학과</t>
    <phoneticPr fontId="2" type="noConversion"/>
  </si>
  <si>
    <t>성명</t>
    <phoneticPr fontId="2" type="noConversion"/>
  </si>
  <si>
    <t>생년월일</t>
    <phoneticPr fontId="2" type="noConversion"/>
  </si>
  <si>
    <t>평점</t>
    <phoneticPr fontId="2" type="noConversion"/>
  </si>
  <si>
    <t>과일명</t>
    <phoneticPr fontId="2" type="noConversion"/>
  </si>
  <si>
    <t>총개수</t>
    <phoneticPr fontId="2" type="noConversion"/>
  </si>
  <si>
    <t>상자당개수</t>
    <phoneticPr fontId="2" type="noConversion"/>
  </si>
  <si>
    <t>상자(나머지)</t>
    <phoneticPr fontId="2" type="noConversion"/>
  </si>
  <si>
    <t>컴퓨터학과</t>
    <phoneticPr fontId="2" type="noConversion"/>
  </si>
  <si>
    <t>유창상</t>
    <phoneticPr fontId="2" type="noConversion"/>
  </si>
  <si>
    <t>파인애플</t>
    <phoneticPr fontId="2" type="noConversion"/>
  </si>
  <si>
    <t>경영학과</t>
    <phoneticPr fontId="2" type="noConversion"/>
  </si>
  <si>
    <t>김현수</t>
    <phoneticPr fontId="2" type="noConversion"/>
  </si>
  <si>
    <t>키위</t>
    <phoneticPr fontId="2" type="noConversion"/>
  </si>
  <si>
    <t>한경수</t>
    <phoneticPr fontId="2" type="noConversion"/>
  </si>
  <si>
    <t>자몽</t>
    <phoneticPr fontId="2" type="noConversion"/>
  </si>
  <si>
    <t>정수연</t>
    <phoneticPr fontId="2" type="noConversion"/>
  </si>
  <si>
    <t>사과</t>
    <phoneticPr fontId="2" type="noConversion"/>
  </si>
  <si>
    <t>정보통신과</t>
    <phoneticPr fontId="2" type="noConversion"/>
  </si>
  <si>
    <t>최경철</t>
    <phoneticPr fontId="2" type="noConversion"/>
  </si>
  <si>
    <t>석류</t>
    <phoneticPr fontId="2" type="noConversion"/>
  </si>
  <si>
    <t>오태환</t>
    <phoneticPr fontId="2" type="noConversion"/>
  </si>
  <si>
    <t>&lt;조건&gt;</t>
    <phoneticPr fontId="2" type="noConversion"/>
  </si>
  <si>
    <t>복숭아</t>
    <phoneticPr fontId="2" type="noConversion"/>
  </si>
  <si>
    <t>임장미</t>
    <phoneticPr fontId="2" type="noConversion"/>
  </si>
  <si>
    <t>귤</t>
    <phoneticPr fontId="2" type="noConversion"/>
  </si>
  <si>
    <t>이민호</t>
    <phoneticPr fontId="2" type="noConversion"/>
  </si>
  <si>
    <t>자두</t>
    <phoneticPr fontId="2" type="noConversion"/>
  </si>
  <si>
    <t>정보통신과 평균 평점</t>
    <phoneticPr fontId="2" type="noConversion"/>
  </si>
  <si>
    <t>오렌지</t>
    <phoneticPr fontId="2" type="noConversion"/>
  </si>
  <si>
    <t>[표3]</t>
    <phoneticPr fontId="2" type="noConversion"/>
  </si>
  <si>
    <t>국내출장비 지급현황</t>
  </si>
  <si>
    <t>[표4]</t>
    <phoneticPr fontId="2" type="noConversion"/>
  </si>
  <si>
    <t>예선 결과표</t>
    <phoneticPr fontId="2" type="noConversion"/>
  </si>
  <si>
    <t>성명</t>
    <phoneticPr fontId="4" type="noConversion"/>
  </si>
  <si>
    <t>출장지</t>
    <phoneticPr fontId="4" type="noConversion"/>
  </si>
  <si>
    <t>교통비</t>
    <phoneticPr fontId="4" type="noConversion"/>
  </si>
  <si>
    <t>숙박비</t>
    <phoneticPr fontId="4" type="noConversion"/>
  </si>
  <si>
    <t>출장비합계</t>
    <phoneticPr fontId="4" type="noConversion"/>
  </si>
  <si>
    <t>응시번호</t>
    <phoneticPr fontId="2" type="noConversion"/>
  </si>
  <si>
    <t>1차</t>
    <phoneticPr fontId="2" type="noConversion"/>
  </si>
  <si>
    <t>2차</t>
    <phoneticPr fontId="2" type="noConversion"/>
  </si>
  <si>
    <t>점수차이</t>
    <phoneticPr fontId="2" type="noConversion"/>
  </si>
  <si>
    <t>대구</t>
    <phoneticPr fontId="4" type="noConversion"/>
  </si>
  <si>
    <t>김문환</t>
    <phoneticPr fontId="4" type="noConversion"/>
  </si>
  <si>
    <t>대전</t>
    <phoneticPr fontId="4" type="noConversion"/>
  </si>
  <si>
    <t>송준호</t>
    <phoneticPr fontId="4" type="noConversion"/>
  </si>
  <si>
    <t>광주</t>
    <phoneticPr fontId="4" type="noConversion"/>
  </si>
  <si>
    <t>전광일</t>
    <phoneticPr fontId="4" type="noConversion"/>
  </si>
  <si>
    <t>제주</t>
    <phoneticPr fontId="4" type="noConversion"/>
  </si>
  <si>
    <t>정태은</t>
    <phoneticPr fontId="4" type="noConversion"/>
  </si>
  <si>
    <t>철원</t>
    <phoneticPr fontId="4" type="noConversion"/>
  </si>
  <si>
    <t>지명섭</t>
    <phoneticPr fontId="4" type="noConversion"/>
  </si>
  <si>
    <t>영월</t>
    <phoneticPr fontId="4" type="noConversion"/>
  </si>
  <si>
    <t>사원 관리 현황</t>
    <phoneticPr fontId="2" type="noConversion"/>
  </si>
  <si>
    <t>학생명 성적</t>
    <phoneticPr fontId="2" type="noConversion"/>
  </si>
  <si>
    <t>성명</t>
    <phoneticPr fontId="2" type="noConversion"/>
  </si>
  <si>
    <t>부서명</t>
    <phoneticPr fontId="2" type="noConversion"/>
  </si>
  <si>
    <t>직급</t>
    <phoneticPr fontId="2" type="noConversion"/>
  </si>
  <si>
    <t>학생명</t>
    <phoneticPr fontId="2" type="noConversion"/>
  </si>
  <si>
    <t>커뮤니케이션</t>
    <phoneticPr fontId="2" type="noConversion"/>
  </si>
  <si>
    <t>회계</t>
    <phoneticPr fontId="2" type="noConversion"/>
  </si>
  <si>
    <t>경영전략</t>
    <phoneticPr fontId="2" type="noConversion"/>
  </si>
  <si>
    <t>최진희</t>
    <phoneticPr fontId="2" type="noConversion"/>
  </si>
  <si>
    <t>생산부</t>
    <phoneticPr fontId="2" type="noConversion"/>
  </si>
  <si>
    <t>부장</t>
    <phoneticPr fontId="2" type="noConversion"/>
  </si>
  <si>
    <t>유창상</t>
    <phoneticPr fontId="2" type="noConversion"/>
  </si>
  <si>
    <t>이종철</t>
    <phoneticPr fontId="2" type="noConversion"/>
  </si>
  <si>
    <t>생산부</t>
    <phoneticPr fontId="2" type="noConversion"/>
  </si>
  <si>
    <t>대리</t>
    <phoneticPr fontId="2" type="noConversion"/>
  </si>
  <si>
    <t>김현수</t>
    <phoneticPr fontId="2" type="noConversion"/>
  </si>
  <si>
    <t>서경화</t>
    <phoneticPr fontId="2" type="noConversion"/>
  </si>
  <si>
    <t>한경수</t>
    <phoneticPr fontId="2" type="noConversion"/>
  </si>
  <si>
    <t>이상연</t>
    <phoneticPr fontId="2" type="noConversion"/>
  </si>
  <si>
    <t>관리부</t>
    <phoneticPr fontId="2" type="noConversion"/>
  </si>
  <si>
    <t>정수연</t>
    <phoneticPr fontId="2" type="noConversion"/>
  </si>
  <si>
    <t>김광연</t>
    <phoneticPr fontId="2" type="noConversion"/>
  </si>
  <si>
    <t>관리부</t>
    <phoneticPr fontId="2" type="noConversion"/>
  </si>
  <si>
    <t>대리</t>
    <phoneticPr fontId="2" type="noConversion"/>
  </si>
  <si>
    <t>최경철</t>
    <phoneticPr fontId="2" type="noConversion"/>
  </si>
  <si>
    <t>손예진</t>
    <phoneticPr fontId="2" type="noConversion"/>
  </si>
  <si>
    <t>관리부</t>
    <phoneticPr fontId="2" type="noConversion"/>
  </si>
  <si>
    <t>오태환</t>
    <phoneticPr fontId="2" type="noConversion"/>
  </si>
  <si>
    <t>정찬우</t>
    <phoneticPr fontId="2" type="noConversion"/>
  </si>
  <si>
    <t>판매부</t>
    <phoneticPr fontId="2" type="noConversion"/>
  </si>
  <si>
    <t>과장</t>
    <phoneticPr fontId="2" type="noConversion"/>
  </si>
  <si>
    <t>임장미</t>
    <phoneticPr fontId="2" type="noConversion"/>
  </si>
  <si>
    <t>한국인</t>
    <phoneticPr fontId="2" type="noConversion"/>
  </si>
  <si>
    <t>판매부</t>
    <phoneticPr fontId="2" type="noConversion"/>
  </si>
  <si>
    <t>대리가 아닌 사원수</t>
    <phoneticPr fontId="2" type="noConversion"/>
  </si>
  <si>
    <t>김영환</t>
    <phoneticPr fontId="2" type="noConversion"/>
  </si>
  <si>
    <t>판매부</t>
    <phoneticPr fontId="2" type="noConversion"/>
  </si>
  <si>
    <t>사원</t>
    <phoneticPr fontId="2" type="noConversion"/>
  </si>
  <si>
    <t>모든 과목이 80 이상인 학생 수</t>
    <phoneticPr fontId="2" type="noConversion"/>
  </si>
  <si>
    <t>급여 현황</t>
    <phoneticPr fontId="2" type="noConversion"/>
  </si>
  <si>
    <t>선수별 성적 현황</t>
    <phoneticPr fontId="2" type="noConversion"/>
  </si>
  <si>
    <t>이름</t>
    <phoneticPr fontId="4" type="noConversion"/>
  </si>
  <si>
    <t>부서</t>
    <phoneticPr fontId="4" type="noConversion"/>
  </si>
  <si>
    <t>직위</t>
    <phoneticPr fontId="4" type="noConversion"/>
  </si>
  <si>
    <t>기본급</t>
    <phoneticPr fontId="2" type="noConversion"/>
  </si>
  <si>
    <t>상여금</t>
    <phoneticPr fontId="4" type="noConversion"/>
  </si>
  <si>
    <t>선수명</t>
    <phoneticPr fontId="8" type="noConversion"/>
  </si>
  <si>
    <t>안타</t>
    <phoneticPr fontId="8" type="noConversion"/>
  </si>
  <si>
    <t>홈런</t>
    <phoneticPr fontId="8" type="noConversion"/>
  </si>
  <si>
    <t>도루</t>
    <phoneticPr fontId="8" type="noConversion"/>
  </si>
  <si>
    <t>삼진</t>
    <phoneticPr fontId="8" type="noConversion"/>
  </si>
  <si>
    <t>박영덕</t>
  </si>
  <si>
    <t>영업부</t>
  </si>
  <si>
    <t>부장</t>
  </si>
  <si>
    <t>이승염</t>
    <phoneticPr fontId="2" type="noConversion"/>
  </si>
  <si>
    <t>주민경</t>
  </si>
  <si>
    <t>생산부</t>
  </si>
  <si>
    <t>과장</t>
  </si>
  <si>
    <t>이용균</t>
    <phoneticPr fontId="2" type="noConversion"/>
  </si>
  <si>
    <t>태진형</t>
  </si>
  <si>
    <t>총무부</t>
  </si>
  <si>
    <t>사원</t>
  </si>
  <si>
    <t>최형욱</t>
    <phoneticPr fontId="2" type="noConversion"/>
  </si>
  <si>
    <t>최민수</t>
  </si>
  <si>
    <t>대리</t>
  </si>
  <si>
    <t>박해만</t>
    <phoneticPr fontId="2" type="noConversion"/>
  </si>
  <si>
    <t>김평주</t>
  </si>
  <si>
    <t>주임</t>
  </si>
  <si>
    <t>김태굴</t>
    <phoneticPr fontId="2" type="noConversion"/>
  </si>
  <si>
    <t>한서라</t>
  </si>
  <si>
    <t>나선범</t>
    <phoneticPr fontId="2" type="noConversion"/>
  </si>
  <si>
    <t>이국선</t>
  </si>
  <si>
    <t>박병훈</t>
    <phoneticPr fontId="2" type="noConversion"/>
  </si>
  <si>
    <t>송나정</t>
  </si>
  <si>
    <t>강중호</t>
    <phoneticPr fontId="2" type="noConversion"/>
  </si>
  <si>
    <t>유한중</t>
    <phoneticPr fontId="2" type="noConversion"/>
  </si>
  <si>
    <r>
      <t>상여금이 1,500,000원 보다 크면서, 
평균기본급이상인</t>
    </r>
    <r>
      <rPr>
        <sz val="11"/>
        <color theme="1"/>
        <rFont val="맑은 고딕"/>
        <family val="3"/>
        <charset val="129"/>
        <scheme val="minor"/>
      </rPr>
      <t xml:space="preserve"> 인원수</t>
    </r>
    <phoneticPr fontId="2" type="noConversion"/>
  </si>
  <si>
    <t>홈런타자들의 평균 삼진수</t>
    <phoneticPr fontId="2" type="noConversion"/>
  </si>
  <si>
    <t>[표5]</t>
    <phoneticPr fontId="2" type="noConversion"/>
  </si>
  <si>
    <t>월별생산현황</t>
    <phoneticPr fontId="2" type="noConversion"/>
  </si>
  <si>
    <t>[표6]</t>
    <phoneticPr fontId="2" type="noConversion"/>
  </si>
  <si>
    <t>영어 듣기 평가</t>
    <phoneticPr fontId="2" type="noConversion"/>
  </si>
  <si>
    <t>월</t>
    <phoneticPr fontId="2" type="noConversion"/>
  </si>
  <si>
    <t>생산품(A)</t>
    <phoneticPr fontId="2" type="noConversion"/>
  </si>
  <si>
    <t>생산품(B)</t>
    <phoneticPr fontId="2" type="noConversion"/>
  </si>
  <si>
    <t>생산품(C)</t>
    <phoneticPr fontId="2" type="noConversion"/>
  </si>
  <si>
    <t>생산품(C)
표준편차</t>
    <phoneticPr fontId="2" type="noConversion"/>
  </si>
  <si>
    <t>성별</t>
    <phoneticPr fontId="2" type="noConversion"/>
  </si>
  <si>
    <t>점수</t>
    <phoneticPr fontId="2" type="noConversion"/>
  </si>
  <si>
    <t>3위점수</t>
    <phoneticPr fontId="2" type="noConversion"/>
  </si>
  <si>
    <t>1월</t>
    <phoneticPr fontId="2" type="noConversion"/>
  </si>
  <si>
    <t>강동구</t>
    <phoneticPr fontId="2" type="noConversion"/>
  </si>
  <si>
    <t>남</t>
    <phoneticPr fontId="2" type="noConversion"/>
  </si>
  <si>
    <t>2월</t>
  </si>
  <si>
    <t>우인정</t>
    <phoneticPr fontId="2" type="noConversion"/>
  </si>
  <si>
    <t>여</t>
    <phoneticPr fontId="2" type="noConversion"/>
  </si>
  <si>
    <t>3월</t>
  </si>
  <si>
    <t>손수진</t>
    <phoneticPr fontId="2" type="noConversion"/>
  </si>
  <si>
    <t>4월</t>
  </si>
  <si>
    <t>염기일</t>
    <phoneticPr fontId="2" type="noConversion"/>
  </si>
  <si>
    <t>5월</t>
  </si>
  <si>
    <t>신민해</t>
    <phoneticPr fontId="2" type="noConversion"/>
  </si>
  <si>
    <t>여</t>
    <phoneticPr fontId="2" type="noConversion"/>
  </si>
  <si>
    <t>6월</t>
  </si>
  <si>
    <t>양신석</t>
    <phoneticPr fontId="2" type="noConversion"/>
  </si>
  <si>
    <t>7월</t>
  </si>
  <si>
    <t>유해영</t>
    <phoneticPr fontId="2" type="noConversion"/>
  </si>
  <si>
    <t>여</t>
    <phoneticPr fontId="2" type="noConversion"/>
  </si>
  <si>
    <t>8월</t>
  </si>
  <si>
    <t>이민호</t>
    <phoneticPr fontId="2" type="noConversion"/>
  </si>
  <si>
    <t>9월</t>
  </si>
  <si>
    <t>조정식</t>
    <phoneticPr fontId="2" type="noConversion"/>
  </si>
  <si>
    <t>10월</t>
  </si>
  <si>
    <t>심수연</t>
    <phoneticPr fontId="2" type="noConversion"/>
  </si>
  <si>
    <t>[표1]</t>
    <phoneticPr fontId="2" type="noConversion"/>
  </si>
  <si>
    <t>축구 경기대회</t>
    <phoneticPr fontId="2" type="noConversion"/>
  </si>
  <si>
    <t>성과급 지급 현황</t>
    <phoneticPr fontId="2" type="noConversion"/>
  </si>
  <si>
    <t>팀명</t>
    <phoneticPr fontId="2" type="noConversion"/>
  </si>
  <si>
    <t>승</t>
    <phoneticPr fontId="2" type="noConversion"/>
  </si>
  <si>
    <t>무</t>
    <phoneticPr fontId="2" type="noConversion"/>
  </si>
  <si>
    <t>패</t>
    <phoneticPr fontId="2" type="noConversion"/>
  </si>
  <si>
    <t>승점</t>
    <phoneticPr fontId="2" type="noConversion"/>
  </si>
  <si>
    <t>결승</t>
    <phoneticPr fontId="2" type="noConversion"/>
  </si>
  <si>
    <t>직위</t>
    <phoneticPr fontId="2" type="noConversion"/>
  </si>
  <si>
    <t>호봉</t>
    <phoneticPr fontId="2" type="noConversion"/>
  </si>
  <si>
    <t>성과급</t>
    <phoneticPr fontId="2" type="noConversion"/>
  </si>
  <si>
    <t>바로세나</t>
    <phoneticPr fontId="2" type="noConversion"/>
  </si>
  <si>
    <t>고회식</t>
    <phoneticPr fontId="2" type="noConversion"/>
  </si>
  <si>
    <t>레전드</t>
    <phoneticPr fontId="2" type="noConversion"/>
  </si>
  <si>
    <t>조광희</t>
    <phoneticPr fontId="2" type="noConversion"/>
  </si>
  <si>
    <t>대리</t>
    <phoneticPr fontId="2" type="noConversion"/>
  </si>
  <si>
    <t>저스티스</t>
    <phoneticPr fontId="2" type="noConversion"/>
  </si>
  <si>
    <t>이진녀</t>
    <phoneticPr fontId="2" type="noConversion"/>
  </si>
  <si>
    <t>잘차부러</t>
    <phoneticPr fontId="2" type="noConversion"/>
  </si>
  <si>
    <t>최중성</t>
    <phoneticPr fontId="2" type="noConversion"/>
  </si>
  <si>
    <t>과장</t>
    <phoneticPr fontId="2" type="noConversion"/>
  </si>
  <si>
    <t>맨날차유</t>
    <phoneticPr fontId="2" type="noConversion"/>
  </si>
  <si>
    <t>권지향</t>
    <phoneticPr fontId="2" type="noConversion"/>
  </si>
  <si>
    <t>FC첼로</t>
    <phoneticPr fontId="2" type="noConversion"/>
  </si>
  <si>
    <t>김영택</t>
    <phoneticPr fontId="2" type="noConversion"/>
  </si>
  <si>
    <t>레알와우</t>
    <phoneticPr fontId="2" type="noConversion"/>
  </si>
  <si>
    <t>고인숙</t>
    <phoneticPr fontId="2" type="noConversion"/>
  </si>
  <si>
    <t>AC미러</t>
    <phoneticPr fontId="2" type="noConversion"/>
  </si>
  <si>
    <t>변효정</t>
    <phoneticPr fontId="2" type="noConversion"/>
  </si>
  <si>
    <t>발냄새로</t>
    <phoneticPr fontId="2" type="noConversion"/>
  </si>
  <si>
    <t>정은경</t>
    <phoneticPr fontId="2" type="noConversion"/>
  </si>
  <si>
    <t>맨홀시티</t>
    <phoneticPr fontId="2" type="noConversion"/>
  </si>
  <si>
    <t>직위가 과장인 여사원 성과급 평균</t>
    <phoneticPr fontId="2" type="noConversion"/>
  </si>
  <si>
    <t>8월 출석현황</t>
    <phoneticPr fontId="2" type="noConversion"/>
  </si>
  <si>
    <t>[표4]</t>
    <phoneticPr fontId="2" type="noConversion"/>
  </si>
  <si>
    <t>하프 마라톤 결과</t>
    <phoneticPr fontId="2" type="noConversion"/>
  </si>
  <si>
    <t>1주</t>
    <phoneticPr fontId="2" type="noConversion"/>
  </si>
  <si>
    <t>2주</t>
    <phoneticPr fontId="2" type="noConversion"/>
  </si>
  <si>
    <t>3주</t>
    <phoneticPr fontId="2" type="noConversion"/>
  </si>
  <si>
    <t>4주</t>
    <phoneticPr fontId="2" type="noConversion"/>
  </si>
  <si>
    <t>출석률</t>
    <phoneticPr fontId="2" type="noConversion"/>
  </si>
  <si>
    <t>참가번호</t>
    <phoneticPr fontId="2" type="noConversion"/>
  </si>
  <si>
    <t>나이</t>
    <phoneticPr fontId="2" type="noConversion"/>
  </si>
  <si>
    <t>기록</t>
    <phoneticPr fontId="2" type="noConversion"/>
  </si>
  <si>
    <t>결과</t>
    <phoneticPr fontId="2" type="noConversion"/>
  </si>
  <si>
    <t>이용석</t>
    <phoneticPr fontId="2" type="noConversion"/>
  </si>
  <si>
    <t>신태연</t>
    <phoneticPr fontId="2" type="noConversion"/>
  </si>
  <si>
    <t>O</t>
    <phoneticPr fontId="2" type="noConversion"/>
  </si>
  <si>
    <t>임태영</t>
    <phoneticPr fontId="2" type="noConversion"/>
  </si>
  <si>
    <t>안철수</t>
    <phoneticPr fontId="2" type="noConversion"/>
  </si>
  <si>
    <t>김성윤</t>
    <phoneticPr fontId="2" type="noConversion"/>
  </si>
  <si>
    <t>한신애</t>
    <phoneticPr fontId="2" type="noConversion"/>
  </si>
  <si>
    <t>성민수</t>
    <phoneticPr fontId="2" type="noConversion"/>
  </si>
  <si>
    <t>한지원</t>
    <phoneticPr fontId="2" type="noConversion"/>
  </si>
  <si>
    <t>이수영</t>
    <phoneticPr fontId="2" type="noConversion"/>
  </si>
  <si>
    <t>[표5]</t>
    <phoneticPr fontId="2" type="noConversion"/>
  </si>
  <si>
    <t>방학 중 연수 참석 현황</t>
  </si>
  <si>
    <t>(결석표시 : X)</t>
    <phoneticPr fontId="4" type="noConversion"/>
  </si>
  <si>
    <t>청구 번호</t>
    <phoneticPr fontId="4" type="noConversion"/>
  </si>
  <si>
    <t>주문자</t>
    <phoneticPr fontId="4" type="noConversion"/>
  </si>
  <si>
    <t>수금액</t>
    <phoneticPr fontId="4" type="noConversion"/>
  </si>
  <si>
    <t>성명</t>
    <phoneticPr fontId="4" type="noConversion"/>
  </si>
  <si>
    <t>1일차</t>
    <phoneticPr fontId="4" type="noConversion"/>
  </si>
  <si>
    <t>2일차</t>
    <phoneticPr fontId="4" type="noConversion"/>
  </si>
  <si>
    <t>3일차</t>
    <phoneticPr fontId="4" type="noConversion"/>
  </si>
  <si>
    <t>A5024</t>
    <phoneticPr fontId="4" type="noConversion"/>
  </si>
  <si>
    <t>김병수</t>
    <phoneticPr fontId="4" type="noConversion"/>
  </si>
  <si>
    <t>김성호</t>
    <phoneticPr fontId="4" type="noConversion"/>
  </si>
  <si>
    <t>X</t>
    <phoneticPr fontId="4" type="noConversion"/>
  </si>
  <si>
    <t>A7008</t>
    <phoneticPr fontId="4" type="noConversion"/>
  </si>
  <si>
    <t>차인태</t>
    <phoneticPr fontId="4" type="noConversion"/>
  </si>
  <si>
    <t>고준명</t>
    <phoneticPr fontId="4" type="noConversion"/>
  </si>
  <si>
    <t>B8036</t>
    <phoneticPr fontId="4" type="noConversion"/>
  </si>
  <si>
    <t>정구왕</t>
    <phoneticPr fontId="4" type="noConversion"/>
  </si>
  <si>
    <t>강길자</t>
    <phoneticPr fontId="4" type="noConversion"/>
  </si>
  <si>
    <t>B3025</t>
    <phoneticPr fontId="4" type="noConversion"/>
  </si>
  <si>
    <t>정재현</t>
    <phoneticPr fontId="4" type="noConversion"/>
  </si>
  <si>
    <t>공성수</t>
    <phoneticPr fontId="4" type="noConversion"/>
  </si>
  <si>
    <t>B7145</t>
    <phoneticPr fontId="4" type="noConversion"/>
  </si>
  <si>
    <t>황진하</t>
    <phoneticPr fontId="4" type="noConversion"/>
  </si>
  <si>
    <t>박달자</t>
    <phoneticPr fontId="4" type="noConversion"/>
  </si>
  <si>
    <t>A3096</t>
    <phoneticPr fontId="4" type="noConversion"/>
  </si>
  <si>
    <t>이윤태</t>
    <phoneticPr fontId="4" type="noConversion"/>
  </si>
  <si>
    <t>정성실</t>
    <phoneticPr fontId="4" type="noConversion"/>
  </si>
  <si>
    <t>수금 건수</t>
    <phoneticPr fontId="4" type="noConversion"/>
  </si>
  <si>
    <t>장영순</t>
    <phoneticPr fontId="4" type="noConversion"/>
  </si>
  <si>
    <t xml:space="preserve">연수 기간 중 총 출석 횟수 </t>
    <phoneticPr fontId="4" type="noConversion"/>
  </si>
  <si>
    <t>[표2]</t>
    <phoneticPr fontId="2" type="noConversion"/>
  </si>
  <si>
    <t>고객 관리 현황</t>
    <phoneticPr fontId="2" type="noConversion"/>
  </si>
  <si>
    <t>학번</t>
    <phoneticPr fontId="4" type="noConversion"/>
  </si>
  <si>
    <t>이름</t>
    <phoneticPr fontId="4" type="noConversion"/>
  </si>
  <si>
    <t>주민등록번호</t>
    <phoneticPr fontId="4" type="noConversion"/>
  </si>
  <si>
    <t>성별</t>
    <phoneticPr fontId="4" type="noConversion"/>
  </si>
  <si>
    <t>구입횟수</t>
    <phoneticPr fontId="2" type="noConversion"/>
  </si>
  <si>
    <t>구입액</t>
    <phoneticPr fontId="2" type="noConversion"/>
  </si>
  <si>
    <t>등급</t>
    <phoneticPr fontId="2" type="noConversion"/>
  </si>
  <si>
    <t>M1602001</t>
    <phoneticPr fontId="2" type="noConversion"/>
  </si>
  <si>
    <t>이민영</t>
    <phoneticPr fontId="2" type="noConversion"/>
  </si>
  <si>
    <t>990218-2304567</t>
    <phoneticPr fontId="2" type="noConversion"/>
  </si>
  <si>
    <t>이유정</t>
    <phoneticPr fontId="2" type="noConversion"/>
  </si>
  <si>
    <t>M1602003</t>
  </si>
  <si>
    <t>박수진</t>
    <phoneticPr fontId="2" type="noConversion"/>
  </si>
  <si>
    <t>011115-4356712</t>
    <phoneticPr fontId="2" type="noConversion"/>
  </si>
  <si>
    <t>김영아</t>
    <phoneticPr fontId="2" type="noConversion"/>
  </si>
  <si>
    <t>M1602004</t>
  </si>
  <si>
    <t>최만수</t>
    <phoneticPr fontId="2" type="noConversion"/>
  </si>
  <si>
    <t>980723-1935645</t>
    <phoneticPr fontId="2" type="noConversion"/>
  </si>
  <si>
    <t>원유준</t>
    <phoneticPr fontId="2" type="noConversion"/>
  </si>
  <si>
    <t>&lt;등급표&gt;</t>
    <phoneticPr fontId="2" type="noConversion"/>
  </si>
  <si>
    <t>M1602005</t>
  </si>
  <si>
    <t>조용덕</t>
    <phoneticPr fontId="2" type="noConversion"/>
  </si>
  <si>
    <t>991225-1328650</t>
    <phoneticPr fontId="2" type="noConversion"/>
  </si>
  <si>
    <t>안영환</t>
    <phoneticPr fontId="2" type="noConversion"/>
  </si>
  <si>
    <t>금액</t>
    <phoneticPr fontId="2" type="noConversion"/>
  </si>
  <si>
    <t>등급</t>
    <phoneticPr fontId="2" type="noConversion"/>
  </si>
  <si>
    <t>M1602006</t>
  </si>
  <si>
    <t>김태훈</t>
    <phoneticPr fontId="2" type="noConversion"/>
  </si>
  <si>
    <t>021222-3264328</t>
    <phoneticPr fontId="2" type="noConversion"/>
  </si>
  <si>
    <t>조재현</t>
    <phoneticPr fontId="2" type="noConversion"/>
  </si>
  <si>
    <t>일반</t>
    <phoneticPr fontId="2" type="noConversion"/>
  </si>
  <si>
    <t>M1602007</t>
  </si>
  <si>
    <t>편승주</t>
    <phoneticPr fontId="2" type="noConversion"/>
  </si>
  <si>
    <t>010123-3652942</t>
    <phoneticPr fontId="2" type="noConversion"/>
  </si>
  <si>
    <t>실버</t>
    <phoneticPr fontId="2" type="noConversion"/>
  </si>
  <si>
    <t>M1602008</t>
  </si>
  <si>
    <t>곽나래</t>
    <phoneticPr fontId="2" type="noConversion"/>
  </si>
  <si>
    <t>001015-4685201</t>
    <phoneticPr fontId="2" type="noConversion"/>
  </si>
  <si>
    <t>김상식</t>
    <phoneticPr fontId="2" type="noConversion"/>
  </si>
  <si>
    <t>M1602002</t>
  </si>
  <si>
    <t>도홍진</t>
    <phoneticPr fontId="2" type="noConversion"/>
  </si>
  <si>
    <t>010802-3065821</t>
    <phoneticPr fontId="2" type="noConversion"/>
  </si>
  <si>
    <t>한승연</t>
    <phoneticPr fontId="2" type="noConversion"/>
  </si>
  <si>
    <t>VIP</t>
    <phoneticPr fontId="2" type="noConversion"/>
  </si>
  <si>
    <t>[표3]</t>
    <phoneticPr fontId="2" type="noConversion"/>
  </si>
  <si>
    <t>의류 판매 현황</t>
    <phoneticPr fontId="2" type="noConversion"/>
  </si>
  <si>
    <t>급여지급현황</t>
  </si>
  <si>
    <t>의류코드</t>
    <phoneticPr fontId="2" type="noConversion"/>
  </si>
  <si>
    <t>사이즈</t>
    <phoneticPr fontId="2" type="noConversion"/>
  </si>
  <si>
    <t>판매량</t>
    <phoneticPr fontId="2" type="noConversion"/>
  </si>
  <si>
    <t>사원명</t>
    <phoneticPr fontId="2" type="noConversion"/>
  </si>
  <si>
    <t>부서</t>
    <phoneticPr fontId="2" type="noConversion"/>
  </si>
  <si>
    <t>직위</t>
    <phoneticPr fontId="2" type="noConversion"/>
  </si>
  <si>
    <t>가족수당</t>
    <phoneticPr fontId="2" type="noConversion"/>
  </si>
  <si>
    <t>수령액</t>
    <phoneticPr fontId="2" type="noConversion"/>
  </si>
  <si>
    <t>mk-101</t>
    <phoneticPr fontId="2" type="noConversion"/>
  </si>
  <si>
    <t>S</t>
    <phoneticPr fontId="2" type="noConversion"/>
  </si>
  <si>
    <t>강백호</t>
    <phoneticPr fontId="2" type="noConversion"/>
  </si>
  <si>
    <t>생산부</t>
    <phoneticPr fontId="2" type="noConversion"/>
  </si>
  <si>
    <t>mk-101</t>
    <phoneticPr fontId="2" type="noConversion"/>
  </si>
  <si>
    <t>M</t>
    <phoneticPr fontId="2" type="noConversion"/>
  </si>
  <si>
    <t>김박사</t>
    <phoneticPr fontId="2" type="noConversion"/>
  </si>
  <si>
    <t>경리부</t>
    <phoneticPr fontId="2" type="noConversion"/>
  </si>
  <si>
    <t>mk-101</t>
    <phoneticPr fontId="2" type="noConversion"/>
  </si>
  <si>
    <t>한국남</t>
    <phoneticPr fontId="2" type="noConversion"/>
  </si>
  <si>
    <t>자재부</t>
    <phoneticPr fontId="2" type="noConversion"/>
  </si>
  <si>
    <t>사원</t>
    <phoneticPr fontId="2" type="noConversion"/>
  </si>
  <si>
    <t>mk-102</t>
    <phoneticPr fontId="2" type="noConversion"/>
  </si>
  <si>
    <t>M</t>
    <phoneticPr fontId="2" type="noConversion"/>
  </si>
  <si>
    <t>현상범</t>
    <phoneticPr fontId="2" type="noConversion"/>
  </si>
  <si>
    <t>생산부</t>
    <phoneticPr fontId="2" type="noConversion"/>
  </si>
  <si>
    <t>mk-102</t>
    <phoneticPr fontId="2" type="noConversion"/>
  </si>
  <si>
    <t>L</t>
    <phoneticPr fontId="2" type="noConversion"/>
  </si>
  <si>
    <t>장애우</t>
    <phoneticPr fontId="2" type="noConversion"/>
  </si>
  <si>
    <t>경리부</t>
    <phoneticPr fontId="2" type="noConversion"/>
  </si>
  <si>
    <t>사원</t>
    <phoneticPr fontId="2" type="noConversion"/>
  </si>
  <si>
    <t>mk-102</t>
    <phoneticPr fontId="2" type="noConversion"/>
  </si>
  <si>
    <t>M</t>
    <phoneticPr fontId="2" type="noConversion"/>
  </si>
  <si>
    <t>금태우</t>
    <phoneticPr fontId="2" type="noConversion"/>
  </si>
  <si>
    <t>기획부</t>
    <phoneticPr fontId="2" type="noConversion"/>
  </si>
  <si>
    <t>mk-103</t>
    <phoneticPr fontId="2" type="noConversion"/>
  </si>
  <si>
    <t>S</t>
    <phoneticPr fontId="2" type="noConversion"/>
  </si>
  <si>
    <t>박대중</t>
    <phoneticPr fontId="2" type="noConversion"/>
  </si>
  <si>
    <t>경리부</t>
    <phoneticPr fontId="2" type="noConversion"/>
  </si>
  <si>
    <t>mk-103</t>
    <phoneticPr fontId="2" type="noConversion"/>
  </si>
  <si>
    <t>김상염</t>
    <phoneticPr fontId="2" type="noConversion"/>
  </si>
  <si>
    <t>부장</t>
    <phoneticPr fontId="2" type="noConversion"/>
  </si>
  <si>
    <t>mk-103</t>
    <phoneticPr fontId="2" type="noConversion"/>
  </si>
  <si>
    <t>L</t>
    <phoneticPr fontId="2" type="noConversion"/>
  </si>
  <si>
    <t>전환수</t>
    <phoneticPr fontId="2" type="noConversion"/>
  </si>
  <si>
    <t>&lt;가격표&gt;</t>
    <phoneticPr fontId="2" type="noConversion"/>
  </si>
  <si>
    <t>[직위표]</t>
    <phoneticPr fontId="2" type="noConversion"/>
  </si>
  <si>
    <t>의류코드</t>
    <phoneticPr fontId="2" type="noConversion"/>
  </si>
  <si>
    <t>직위</t>
    <phoneticPr fontId="2" type="noConversion"/>
  </si>
  <si>
    <t>대리</t>
    <phoneticPr fontId="2" type="noConversion"/>
  </si>
  <si>
    <t>부장</t>
    <phoneticPr fontId="2" type="noConversion"/>
  </si>
  <si>
    <t>판매가</t>
    <phoneticPr fontId="2" type="noConversion"/>
  </si>
  <si>
    <t>기본급</t>
    <phoneticPr fontId="2" type="noConversion"/>
  </si>
  <si>
    <t>할인가</t>
    <phoneticPr fontId="2" type="noConversion"/>
  </si>
  <si>
    <t>직위수당</t>
    <phoneticPr fontId="2" type="noConversion"/>
  </si>
  <si>
    <t>사원 관리 현황</t>
    <phoneticPr fontId="2" type="noConversion"/>
  </si>
  <si>
    <t>사원코드</t>
    <phoneticPr fontId="2" type="noConversion"/>
  </si>
  <si>
    <t>성별</t>
    <phoneticPr fontId="2" type="noConversion"/>
  </si>
  <si>
    <t>부서명</t>
    <phoneticPr fontId="2" type="noConversion"/>
  </si>
  <si>
    <t>성명</t>
    <phoneticPr fontId="2" type="noConversion"/>
  </si>
  <si>
    <t>중간고사</t>
    <phoneticPr fontId="2" type="noConversion"/>
  </si>
  <si>
    <t>기말고사</t>
    <phoneticPr fontId="2" type="noConversion"/>
  </si>
  <si>
    <t>학점</t>
    <phoneticPr fontId="2" type="noConversion"/>
  </si>
  <si>
    <t>P-101</t>
    <phoneticPr fontId="2" type="noConversion"/>
  </si>
  <si>
    <t>부장</t>
    <phoneticPr fontId="2" type="noConversion"/>
  </si>
  <si>
    <t>김미정</t>
    <phoneticPr fontId="2" type="noConversion"/>
  </si>
  <si>
    <t>E-301</t>
    <phoneticPr fontId="2" type="noConversion"/>
  </si>
  <si>
    <t>서진수</t>
    <phoneticPr fontId="2" type="noConversion"/>
  </si>
  <si>
    <t>B-501</t>
    <phoneticPr fontId="2" type="noConversion"/>
  </si>
  <si>
    <t>박주영</t>
    <phoneticPr fontId="2" type="noConversion"/>
  </si>
  <si>
    <t>P-103</t>
    <phoneticPr fontId="2" type="noConversion"/>
  </si>
  <si>
    <t>원영현</t>
    <phoneticPr fontId="2" type="noConversion"/>
  </si>
  <si>
    <t>B-503</t>
    <phoneticPr fontId="2" type="noConversion"/>
  </si>
  <si>
    <t>오선영</t>
    <phoneticPr fontId="2" type="noConversion"/>
  </si>
  <si>
    <t>B-504</t>
    <phoneticPr fontId="2" type="noConversion"/>
  </si>
  <si>
    <t>최은미</t>
    <phoneticPr fontId="2" type="noConversion"/>
  </si>
  <si>
    <t>E-303</t>
    <phoneticPr fontId="2" type="noConversion"/>
  </si>
  <si>
    <t>박진희</t>
    <phoneticPr fontId="2" type="noConversion"/>
  </si>
  <si>
    <t>P-104</t>
    <phoneticPr fontId="2" type="noConversion"/>
  </si>
  <si>
    <t>학점기준표</t>
    <phoneticPr fontId="2" type="noConversion"/>
  </si>
  <si>
    <t>&lt;부서코드&gt;</t>
    <phoneticPr fontId="2" type="noConversion"/>
  </si>
  <si>
    <t>평균</t>
    <phoneticPr fontId="2" type="noConversion"/>
  </si>
  <si>
    <t>코드</t>
    <phoneticPr fontId="2" type="noConversion"/>
  </si>
  <si>
    <t>P</t>
    <phoneticPr fontId="2" type="noConversion"/>
  </si>
  <si>
    <t>B</t>
    <phoneticPr fontId="2" type="noConversion"/>
  </si>
  <si>
    <t>E</t>
    <phoneticPr fontId="2" type="noConversion"/>
  </si>
  <si>
    <t>부서명</t>
    <phoneticPr fontId="2" type="noConversion"/>
  </si>
  <si>
    <t>생산부</t>
    <phoneticPr fontId="2" type="noConversion"/>
  </si>
  <si>
    <t>관리부</t>
    <phoneticPr fontId="2" type="noConversion"/>
  </si>
  <si>
    <t>학점</t>
    <phoneticPr fontId="2" type="noConversion"/>
  </si>
  <si>
    <t>F</t>
    <phoneticPr fontId="2" type="noConversion"/>
  </si>
  <si>
    <t>D</t>
    <phoneticPr fontId="2" type="noConversion"/>
  </si>
  <si>
    <t>C</t>
    <phoneticPr fontId="2" type="noConversion"/>
  </si>
  <si>
    <t>B</t>
    <phoneticPr fontId="2" type="noConversion"/>
  </si>
  <si>
    <t>A</t>
    <phoneticPr fontId="2" type="noConversion"/>
  </si>
  <si>
    <t>평균기온</t>
    <phoneticPr fontId="2" type="noConversion"/>
  </si>
  <si>
    <t>시외버스 요금표</t>
    <phoneticPr fontId="2" type="noConversion"/>
  </si>
  <si>
    <t>번호      월</t>
    <phoneticPr fontId="2" type="noConversion"/>
  </si>
  <si>
    <t>서울</t>
    <phoneticPr fontId="2" type="noConversion"/>
  </si>
  <si>
    <t>청주</t>
    <phoneticPr fontId="2" type="noConversion"/>
  </si>
  <si>
    <t>부산</t>
    <phoneticPr fontId="2" type="noConversion"/>
  </si>
  <si>
    <t>목포</t>
    <phoneticPr fontId="2" type="noConversion"/>
  </si>
  <si>
    <t>부산</t>
    <phoneticPr fontId="2" type="noConversion"/>
  </si>
  <si>
    <t>목포</t>
    <phoneticPr fontId="2" type="noConversion"/>
  </si>
  <si>
    <t>&lt;지역코드표&gt;</t>
    <phoneticPr fontId="2" type="noConversion"/>
  </si>
  <si>
    <t>서울</t>
    <phoneticPr fontId="2" type="noConversion"/>
  </si>
  <si>
    <t>코드</t>
  </si>
  <si>
    <t>출발지</t>
    <phoneticPr fontId="2" type="noConversion"/>
  </si>
  <si>
    <t>도착지</t>
    <phoneticPr fontId="2" type="noConversion"/>
  </si>
  <si>
    <t>부산-목포 요금</t>
    <phoneticPr fontId="2" type="noConversion"/>
  </si>
  <si>
    <t>동호회 회원 현황</t>
    <phoneticPr fontId="2" type="noConversion"/>
  </si>
  <si>
    <t>[표2]</t>
    <phoneticPr fontId="2" type="noConversion"/>
  </si>
  <si>
    <t>기준일 :</t>
    <phoneticPr fontId="2" type="noConversion"/>
  </si>
  <si>
    <t>지역</t>
    <phoneticPr fontId="2" type="noConversion"/>
  </si>
  <si>
    <t>주민등록번호</t>
    <phoneticPr fontId="2" type="noConversion"/>
  </si>
  <si>
    <t>입사일</t>
    <phoneticPr fontId="2" type="noConversion"/>
  </si>
  <si>
    <t>년차(나이)</t>
    <phoneticPr fontId="2" type="noConversion"/>
  </si>
  <si>
    <t>윤정민</t>
    <phoneticPr fontId="2" type="noConversion"/>
  </si>
  <si>
    <t>노원구</t>
    <phoneticPr fontId="2" type="noConversion"/>
  </si>
  <si>
    <t>881201-1******</t>
    <phoneticPr fontId="2" type="noConversion"/>
  </si>
  <si>
    <t>오장동</t>
    <phoneticPr fontId="2" type="noConversion"/>
  </si>
  <si>
    <t>사원</t>
    <phoneticPr fontId="2" type="noConversion"/>
  </si>
  <si>
    <t>920621-123****</t>
    <phoneticPr fontId="2" type="noConversion"/>
  </si>
  <si>
    <t>조인성</t>
    <phoneticPr fontId="2" type="noConversion"/>
  </si>
  <si>
    <t>관악구</t>
    <phoneticPr fontId="2" type="noConversion"/>
  </si>
  <si>
    <t>830725-1******</t>
    <phoneticPr fontId="2" type="noConversion"/>
  </si>
  <si>
    <t>박한송</t>
    <phoneticPr fontId="2" type="noConversion"/>
  </si>
  <si>
    <t>850101-235****</t>
    <phoneticPr fontId="2" type="noConversion"/>
  </si>
  <si>
    <t>유현진</t>
    <phoneticPr fontId="2" type="noConversion"/>
  </si>
  <si>
    <t>서초구</t>
    <phoneticPr fontId="2" type="noConversion"/>
  </si>
  <si>
    <t>860903-1******</t>
    <phoneticPr fontId="2" type="noConversion"/>
  </si>
  <si>
    <t>이하임</t>
    <phoneticPr fontId="2" type="noConversion"/>
  </si>
  <si>
    <t>890511-257****</t>
    <phoneticPr fontId="2" type="noConversion"/>
  </si>
  <si>
    <t>현상화</t>
    <phoneticPr fontId="2" type="noConversion"/>
  </si>
  <si>
    <t>마포구</t>
    <phoneticPr fontId="2" type="noConversion"/>
  </si>
  <si>
    <t>920817-2******</t>
    <phoneticPr fontId="2" type="noConversion"/>
  </si>
  <si>
    <t>김진면</t>
    <phoneticPr fontId="2" type="noConversion"/>
  </si>
  <si>
    <t>841204-154****</t>
    <phoneticPr fontId="2" type="noConversion"/>
  </si>
  <si>
    <t>유시연</t>
    <phoneticPr fontId="2" type="noConversion"/>
  </si>
  <si>
    <t>841113-2******</t>
    <phoneticPr fontId="2" type="noConversion"/>
  </si>
  <si>
    <t>신명우</t>
    <phoneticPr fontId="2" type="noConversion"/>
  </si>
  <si>
    <t>911012-146****</t>
    <phoneticPr fontId="2" type="noConversion"/>
  </si>
  <si>
    <t>신선미</t>
    <phoneticPr fontId="2" type="noConversion"/>
  </si>
  <si>
    <t>811023-2******</t>
    <phoneticPr fontId="2" type="noConversion"/>
  </si>
  <si>
    <t>최은정</t>
    <phoneticPr fontId="2" type="noConversion"/>
  </si>
  <si>
    <t>950725-248****</t>
    <phoneticPr fontId="2" type="noConversion"/>
  </si>
  <si>
    <t>이동현</t>
    <phoneticPr fontId="2" type="noConversion"/>
  </si>
  <si>
    <t>910103-1******</t>
    <phoneticPr fontId="2" type="noConversion"/>
  </si>
  <si>
    <t>유선미</t>
    <phoneticPr fontId="2" type="noConversion"/>
  </si>
  <si>
    <t>860904-215****</t>
    <phoneticPr fontId="2" type="noConversion"/>
  </si>
  <si>
    <t>김강준</t>
    <phoneticPr fontId="2" type="noConversion"/>
  </si>
  <si>
    <t>880802-1******</t>
    <phoneticPr fontId="2" type="noConversion"/>
  </si>
  <si>
    <t>김소영</t>
    <phoneticPr fontId="2" type="noConversion"/>
  </si>
  <si>
    <t>대리</t>
    <phoneticPr fontId="2" type="noConversion"/>
  </si>
  <si>
    <t>890424-242****</t>
    <phoneticPr fontId="2" type="noConversion"/>
  </si>
  <si>
    <t>박혜리</t>
    <phoneticPr fontId="2" type="noConversion"/>
  </si>
  <si>
    <t>서초구</t>
    <phoneticPr fontId="2" type="noConversion"/>
  </si>
  <si>
    <t>900617-2******</t>
    <phoneticPr fontId="2" type="noConversion"/>
  </si>
  <si>
    <t>한상진</t>
    <phoneticPr fontId="2" type="noConversion"/>
  </si>
  <si>
    <t>901119-138****</t>
    <phoneticPr fontId="2" type="noConversion"/>
  </si>
  <si>
    <t>휴가 일정표</t>
    <phoneticPr fontId="2" type="noConversion"/>
  </si>
  <si>
    <t>학생회 회원 정보</t>
    <phoneticPr fontId="2" type="noConversion"/>
  </si>
  <si>
    <t>휴가출발일</t>
    <phoneticPr fontId="2" type="noConversion"/>
  </si>
  <si>
    <t>휴가일수</t>
    <phoneticPr fontId="2" type="noConversion"/>
  </si>
  <si>
    <t>회사출근일</t>
    <phoneticPr fontId="2" type="noConversion"/>
  </si>
  <si>
    <t>학년</t>
    <phoneticPr fontId="2" type="noConversion"/>
  </si>
  <si>
    <t>반</t>
    <phoneticPr fontId="2" type="noConversion"/>
  </si>
  <si>
    <t>태어난요일</t>
    <phoneticPr fontId="2" type="noConversion"/>
  </si>
  <si>
    <t>[요일구분표]</t>
    <phoneticPr fontId="2" type="noConversion"/>
  </si>
  <si>
    <t>성소민</t>
    <phoneticPr fontId="2" type="noConversion"/>
  </si>
  <si>
    <t>김기영</t>
    <phoneticPr fontId="2" type="noConversion"/>
  </si>
  <si>
    <t>구분</t>
    <phoneticPr fontId="2" type="noConversion"/>
  </si>
  <si>
    <t>요일</t>
    <phoneticPr fontId="2" type="noConversion"/>
  </si>
  <si>
    <t>이수양</t>
    <phoneticPr fontId="2" type="noConversion"/>
  </si>
  <si>
    <t>황효주</t>
    <phoneticPr fontId="2" type="noConversion"/>
  </si>
  <si>
    <t>월요일</t>
    <phoneticPr fontId="2" type="noConversion"/>
  </si>
  <si>
    <t>박세현</t>
    <phoneticPr fontId="2" type="noConversion"/>
  </si>
  <si>
    <t>강만석</t>
    <phoneticPr fontId="2" type="noConversion"/>
  </si>
  <si>
    <t>화요일</t>
    <phoneticPr fontId="2" type="noConversion"/>
  </si>
  <si>
    <t>김성찬</t>
    <phoneticPr fontId="2" type="noConversion"/>
  </si>
  <si>
    <t>이유영</t>
    <phoneticPr fontId="2" type="noConversion"/>
  </si>
  <si>
    <t>수요일</t>
    <phoneticPr fontId="2" type="noConversion"/>
  </si>
  <si>
    <t>장선욱</t>
    <phoneticPr fontId="2" type="noConversion"/>
  </si>
  <si>
    <t>최은경</t>
    <phoneticPr fontId="2" type="noConversion"/>
  </si>
  <si>
    <t>목요일</t>
    <phoneticPr fontId="2" type="noConversion"/>
  </si>
  <si>
    <t>유석일</t>
    <phoneticPr fontId="2" type="noConversion"/>
  </si>
  <si>
    <t>조현우</t>
    <phoneticPr fontId="2" type="noConversion"/>
  </si>
  <si>
    <t>금요일</t>
    <phoneticPr fontId="2" type="noConversion"/>
  </si>
  <si>
    <t>박수홍</t>
    <phoneticPr fontId="2" type="noConversion"/>
  </si>
  <si>
    <t>박지섭</t>
    <phoneticPr fontId="2" type="noConversion"/>
  </si>
  <si>
    <t>토요일</t>
    <phoneticPr fontId="2" type="noConversion"/>
  </si>
  <si>
    <t>이수아</t>
    <phoneticPr fontId="2" type="noConversion"/>
  </si>
  <si>
    <t>김민희</t>
    <phoneticPr fontId="2" type="noConversion"/>
  </si>
  <si>
    <t>일요일</t>
    <phoneticPr fontId="2" type="noConversion"/>
  </si>
  <si>
    <t>최수현</t>
    <phoneticPr fontId="2" type="noConversion"/>
  </si>
  <si>
    <t>이성영</t>
    <phoneticPr fontId="2" type="noConversion"/>
  </si>
  <si>
    <t>김송혁</t>
    <phoneticPr fontId="2" type="noConversion"/>
  </si>
  <si>
    <t>이동진</t>
    <phoneticPr fontId="2" type="noConversion"/>
  </si>
  <si>
    <t>자격증 응시일</t>
  </si>
  <si>
    <t>[표2]</t>
    <phoneticPr fontId="4" type="noConversion"/>
  </si>
  <si>
    <t>회원 관리 현황</t>
    <phoneticPr fontId="4" type="noConversion"/>
  </si>
  <si>
    <t>응시지역</t>
    <phoneticPr fontId="2" type="noConversion"/>
  </si>
  <si>
    <t>응시일</t>
    <phoneticPr fontId="2" type="noConversion"/>
  </si>
  <si>
    <t>이름</t>
  </si>
  <si>
    <t>부서</t>
    <phoneticPr fontId="4" type="noConversion"/>
  </si>
  <si>
    <t>입사일자</t>
    <phoneticPr fontId="4" type="noConversion"/>
  </si>
  <si>
    <t>근무년수</t>
    <phoneticPr fontId="4" type="noConversion"/>
  </si>
  <si>
    <t>광주</t>
    <phoneticPr fontId="2" type="noConversion"/>
  </si>
  <si>
    <t>김종민</t>
    <phoneticPr fontId="2" type="noConversion"/>
  </si>
  <si>
    <t>공호철</t>
    <phoneticPr fontId="4" type="noConversion"/>
  </si>
  <si>
    <t>영업부</t>
    <phoneticPr fontId="4" type="noConversion"/>
  </si>
  <si>
    <t>강원철</t>
    <phoneticPr fontId="2" type="noConversion"/>
  </si>
  <si>
    <t>강장환</t>
  </si>
  <si>
    <t>관리부</t>
    <phoneticPr fontId="4" type="noConversion"/>
  </si>
  <si>
    <t>안양</t>
    <phoneticPr fontId="2" type="noConversion"/>
  </si>
  <si>
    <t>이진수</t>
    <phoneticPr fontId="2" type="noConversion"/>
  </si>
  <si>
    <t>신동숙</t>
  </si>
  <si>
    <t>박정민</t>
    <phoneticPr fontId="2" type="noConversion"/>
  </si>
  <si>
    <t>이창명</t>
  </si>
  <si>
    <t>총무부</t>
    <phoneticPr fontId="4" type="noConversion"/>
  </si>
  <si>
    <t>인천</t>
    <phoneticPr fontId="2" type="noConversion"/>
  </si>
  <si>
    <t>한수경</t>
    <phoneticPr fontId="2" type="noConversion"/>
  </si>
  <si>
    <t>채경휘</t>
  </si>
  <si>
    <t>경리부</t>
    <phoneticPr fontId="4" type="noConversion"/>
  </si>
  <si>
    <t>제주</t>
    <phoneticPr fontId="2" type="noConversion"/>
  </si>
  <si>
    <t>유미진</t>
    <phoneticPr fontId="2" type="noConversion"/>
  </si>
  <si>
    <t>김길수</t>
  </si>
  <si>
    <t>대전</t>
    <phoneticPr fontId="2" type="noConversion"/>
  </si>
  <si>
    <t>정미영</t>
    <phoneticPr fontId="2" type="noConversion"/>
  </si>
  <si>
    <t>강정미</t>
  </si>
  <si>
    <t>대한학원 수강시간표</t>
  </si>
  <si>
    <t>시험일시</t>
    <phoneticPr fontId="4" type="noConversion"/>
  </si>
  <si>
    <t>잔여일수</t>
    <phoneticPr fontId="4" type="noConversion"/>
  </si>
  <si>
    <t>과목</t>
    <phoneticPr fontId="4" type="noConversion"/>
  </si>
  <si>
    <t>요일</t>
    <phoneticPr fontId="4" type="noConversion"/>
  </si>
  <si>
    <t>수업시간</t>
    <phoneticPr fontId="4" type="noConversion"/>
  </si>
  <si>
    <t>입실시간</t>
    <phoneticPr fontId="4" type="noConversion"/>
  </si>
  <si>
    <t>한가람</t>
    <phoneticPr fontId="4" type="noConversion"/>
  </si>
  <si>
    <t>피아노</t>
    <phoneticPr fontId="4" type="noConversion"/>
  </si>
  <si>
    <t>수요일</t>
    <phoneticPr fontId="4" type="noConversion"/>
  </si>
  <si>
    <t>김은철</t>
    <phoneticPr fontId="4" type="noConversion"/>
  </si>
  <si>
    <t>바이올린</t>
    <phoneticPr fontId="4" type="noConversion"/>
  </si>
  <si>
    <t>월요일</t>
    <phoneticPr fontId="4" type="noConversion"/>
  </si>
  <si>
    <t>고사리</t>
    <phoneticPr fontId="4" type="noConversion"/>
  </si>
  <si>
    <t>주산</t>
    <phoneticPr fontId="4" type="noConversion"/>
  </si>
  <si>
    <t>금요일</t>
    <phoneticPr fontId="4" type="noConversion"/>
  </si>
  <si>
    <t>박은별</t>
    <phoneticPr fontId="4" type="noConversion"/>
  </si>
  <si>
    <t>영어</t>
    <phoneticPr fontId="4" type="noConversion"/>
  </si>
  <si>
    <t>목요일</t>
    <phoneticPr fontId="4" type="noConversion"/>
  </si>
  <si>
    <t>성준서</t>
    <phoneticPr fontId="4" type="noConversion"/>
  </si>
  <si>
    <t>미술</t>
    <phoneticPr fontId="4" type="noConversion"/>
  </si>
  <si>
    <t>토요일</t>
    <phoneticPr fontId="4" type="noConversion"/>
  </si>
  <si>
    <t>이성연</t>
    <phoneticPr fontId="4" type="noConversion"/>
  </si>
  <si>
    <t>박한나</t>
    <phoneticPr fontId="4" type="noConversion"/>
  </si>
  <si>
    <t>이미리</t>
    <phoneticPr fontId="4" type="noConversion"/>
  </si>
  <si>
    <t>홈런 순위</t>
    <phoneticPr fontId="2" type="noConversion"/>
  </si>
  <si>
    <t>카페 신입회원 정보</t>
    <phoneticPr fontId="2" type="noConversion"/>
  </si>
  <si>
    <t>순위</t>
    <phoneticPr fontId="2" type="noConversion"/>
  </si>
  <si>
    <t>홈런수</t>
    <phoneticPr fontId="2" type="noConversion"/>
  </si>
  <si>
    <t>팀명</t>
    <phoneticPr fontId="2" type="noConversion"/>
  </si>
  <si>
    <t>선수명</t>
    <phoneticPr fontId="2" type="noConversion"/>
  </si>
  <si>
    <t>선수명(팀명)</t>
    <phoneticPr fontId="2" type="noConversion"/>
  </si>
  <si>
    <t>성명</t>
    <phoneticPr fontId="2" type="noConversion"/>
  </si>
  <si>
    <t>지역</t>
    <phoneticPr fontId="2" type="noConversion"/>
  </si>
  <si>
    <t>닉네임</t>
    <phoneticPr fontId="2" type="noConversion"/>
  </si>
  <si>
    <t>E-메일</t>
    <phoneticPr fontId="2" type="noConversion"/>
  </si>
  <si>
    <t>eagles</t>
    <phoneticPr fontId="2" type="noConversion"/>
  </si>
  <si>
    <t>kimkh</t>
    <phoneticPr fontId="2" type="noConversion"/>
  </si>
  <si>
    <t>최정예</t>
    <phoneticPr fontId="2" type="noConversion"/>
  </si>
  <si>
    <t>서울</t>
    <phoneticPr fontId="2" type="noConversion"/>
  </si>
  <si>
    <t>love99@naver.com</t>
    <phoneticPr fontId="2" type="noConversion"/>
  </si>
  <si>
    <t>heroes</t>
    <phoneticPr fontId="2" type="noConversion"/>
  </si>
  <si>
    <t>leesy</t>
    <phoneticPr fontId="2" type="noConversion"/>
  </si>
  <si>
    <t>심일훈</t>
    <phoneticPr fontId="2" type="noConversion"/>
  </si>
  <si>
    <t>경기</t>
    <phoneticPr fontId="2" type="noConversion"/>
  </si>
  <si>
    <t>muakiea@nate.com</t>
    <phoneticPr fontId="2" type="noConversion"/>
  </si>
  <si>
    <t>lions</t>
    <phoneticPr fontId="2" type="noConversion"/>
  </si>
  <si>
    <t>parkjm</t>
    <phoneticPr fontId="2" type="noConversion"/>
  </si>
  <si>
    <t>이아랑</t>
    <phoneticPr fontId="2" type="noConversion"/>
  </si>
  <si>
    <t>인천</t>
    <phoneticPr fontId="2" type="noConversion"/>
  </si>
  <si>
    <t>starcmk@nate.com</t>
    <phoneticPr fontId="2" type="noConversion"/>
  </si>
  <si>
    <t>bears</t>
    <phoneticPr fontId="2" type="noConversion"/>
  </si>
  <si>
    <t>kimjk</t>
    <phoneticPr fontId="2" type="noConversion"/>
  </si>
  <si>
    <t>김정필</t>
    <phoneticPr fontId="2" type="noConversion"/>
  </si>
  <si>
    <t>부산</t>
    <phoneticPr fontId="2" type="noConversion"/>
  </si>
  <si>
    <t>99023@gmail.com</t>
    <phoneticPr fontId="2" type="noConversion"/>
  </si>
  <si>
    <t>ktwiz</t>
    <phoneticPr fontId="2" type="noConversion"/>
  </si>
  <si>
    <t>yoonbw</t>
    <phoneticPr fontId="2" type="noConversion"/>
  </si>
  <si>
    <t>홍현서</t>
    <phoneticPr fontId="2" type="noConversion"/>
  </si>
  <si>
    <t>yses@daum.net</t>
    <phoneticPr fontId="2" type="noConversion"/>
  </si>
  <si>
    <t>tigers</t>
    <phoneticPr fontId="2" type="noConversion"/>
  </si>
  <si>
    <t>ohsh</t>
    <phoneticPr fontId="2" type="noConversion"/>
  </si>
  <si>
    <t>이재훈</t>
    <phoneticPr fontId="2" type="noConversion"/>
  </si>
  <si>
    <t>대구</t>
    <phoneticPr fontId="2" type="noConversion"/>
  </si>
  <si>
    <t>newlive@naver.com</t>
    <phoneticPr fontId="2" type="noConversion"/>
  </si>
  <si>
    <t>twins</t>
    <phoneticPr fontId="2" type="noConversion"/>
  </si>
  <si>
    <t>songhm</t>
    <phoneticPr fontId="2" type="noConversion"/>
  </si>
  <si>
    <t>김지민</t>
    <phoneticPr fontId="2" type="noConversion"/>
  </si>
  <si>
    <t>0908ar@naver.com</t>
    <phoneticPr fontId="2" type="noConversion"/>
  </si>
  <si>
    <t>dinos</t>
    <phoneticPr fontId="2" type="noConversion"/>
  </si>
  <si>
    <t>jangjb</t>
    <phoneticPr fontId="2" type="noConversion"/>
  </si>
  <si>
    <t>정해선</t>
    <phoneticPr fontId="2" type="noConversion"/>
  </si>
  <si>
    <t>강원</t>
    <phoneticPr fontId="2" type="noConversion"/>
  </si>
  <si>
    <t>tenhour@daum.net</t>
    <phoneticPr fontId="2" type="noConversion"/>
  </si>
  <si>
    <t>giants</t>
    <phoneticPr fontId="2" type="noConversion"/>
  </si>
  <si>
    <t>haneh</t>
    <phoneticPr fontId="2" type="noConversion"/>
  </si>
  <si>
    <t>정우현</t>
    <phoneticPr fontId="2" type="noConversion"/>
  </si>
  <si>
    <t>제주</t>
    <phoneticPr fontId="2" type="noConversion"/>
  </si>
  <si>
    <t>kji1004@gmail.com</t>
    <phoneticPr fontId="2" type="noConversion"/>
  </si>
  <si>
    <t>wyverns</t>
    <phoneticPr fontId="2" type="noConversion"/>
  </si>
  <si>
    <t>jinch</t>
    <phoneticPr fontId="2" type="noConversion"/>
  </si>
  <si>
    <t>[표3]</t>
    <phoneticPr fontId="2" type="noConversion"/>
  </si>
  <si>
    <t>[표4]</t>
    <phoneticPr fontId="2" type="noConversion"/>
  </si>
  <si>
    <t>제품코드</t>
    <phoneticPr fontId="2" type="noConversion"/>
  </si>
  <si>
    <t>판매가</t>
    <phoneticPr fontId="2" type="noConversion"/>
  </si>
  <si>
    <t>판매량</t>
    <phoneticPr fontId="2" type="noConversion"/>
  </si>
  <si>
    <t>학과</t>
    <phoneticPr fontId="2" type="noConversion"/>
  </si>
  <si>
    <t>입학일자</t>
    <phoneticPr fontId="2" type="noConversion"/>
  </si>
  <si>
    <t>입학코드</t>
    <phoneticPr fontId="2" type="noConversion"/>
  </si>
  <si>
    <t>C-01-M</t>
    <phoneticPr fontId="2" type="noConversion"/>
  </si>
  <si>
    <t>HEALTHCARE</t>
  </si>
  <si>
    <t>S-03-W</t>
    <phoneticPr fontId="2" type="noConversion"/>
  </si>
  <si>
    <t>B-03-W</t>
    <phoneticPr fontId="2" type="noConversion"/>
  </si>
  <si>
    <t>COMPUTER</t>
  </si>
  <si>
    <t>A-01-M</t>
    <phoneticPr fontId="2" type="noConversion"/>
  </si>
  <si>
    <t>H-03-W</t>
    <phoneticPr fontId="2" type="noConversion"/>
  </si>
  <si>
    <t>DESIGN</t>
  </si>
  <si>
    <t>N-01-M</t>
    <phoneticPr fontId="2" type="noConversion"/>
  </si>
  <si>
    <t>P-05-O</t>
    <phoneticPr fontId="2" type="noConversion"/>
  </si>
  <si>
    <t>ARTS-THERAPY</t>
  </si>
  <si>
    <t>L-05-O</t>
    <phoneticPr fontId="2" type="noConversion"/>
  </si>
  <si>
    <t>[표5]</t>
    <phoneticPr fontId="2" type="noConversion"/>
  </si>
  <si>
    <t>생산품목 현황</t>
  </si>
  <si>
    <t>[표6]</t>
    <phoneticPr fontId="2" type="noConversion"/>
  </si>
  <si>
    <t>코드</t>
    <phoneticPr fontId="4" type="noConversion"/>
  </si>
  <si>
    <t>생산일자</t>
    <phoneticPr fontId="4" type="noConversion"/>
  </si>
  <si>
    <t>인식표</t>
    <phoneticPr fontId="4" type="noConversion"/>
  </si>
  <si>
    <t>제품코드</t>
    <phoneticPr fontId="4" type="noConversion"/>
  </si>
  <si>
    <t>도서코드</t>
    <phoneticPr fontId="4" type="noConversion"/>
  </si>
  <si>
    <t>출판사</t>
    <phoneticPr fontId="4" type="noConversion"/>
  </si>
  <si>
    <t>출판년도</t>
    <phoneticPr fontId="4" type="noConversion"/>
  </si>
  <si>
    <t>변환도서코드</t>
    <phoneticPr fontId="4" type="noConversion"/>
  </si>
  <si>
    <t>ag</t>
    <phoneticPr fontId="4" type="noConversion"/>
  </si>
  <si>
    <t>w</t>
    <phoneticPr fontId="4" type="noConversion"/>
  </si>
  <si>
    <t xml:space="preserve"> mng-002 </t>
    <phoneticPr fontId="4" type="noConversion"/>
  </si>
  <si>
    <t>한국산업</t>
    <phoneticPr fontId="4" type="noConversion"/>
  </si>
  <si>
    <t>rf</t>
    <phoneticPr fontId="4" type="noConversion"/>
  </si>
  <si>
    <t>e</t>
    <phoneticPr fontId="4" type="noConversion"/>
  </si>
  <si>
    <t xml:space="preserve"> psy-523 </t>
    <phoneticPr fontId="4" type="noConversion"/>
  </si>
  <si>
    <t>민음사</t>
    <phoneticPr fontId="4" type="noConversion"/>
  </si>
  <si>
    <t>dk</t>
    <phoneticPr fontId="4" type="noConversion"/>
  </si>
  <si>
    <t>f</t>
    <phoneticPr fontId="4" type="noConversion"/>
  </si>
  <si>
    <t xml:space="preserve"> mng-091 </t>
    <phoneticPr fontId="4" type="noConversion"/>
  </si>
  <si>
    <t>두란노</t>
    <phoneticPr fontId="4" type="noConversion"/>
  </si>
  <si>
    <t>ik</t>
    <phoneticPr fontId="4" type="noConversion"/>
  </si>
  <si>
    <t>d</t>
    <phoneticPr fontId="4" type="noConversion"/>
  </si>
  <si>
    <t xml:space="preserve"> psy-725 </t>
    <phoneticPr fontId="4" type="noConversion"/>
  </si>
  <si>
    <t>에코의 서재</t>
    <phoneticPr fontId="4" type="noConversion"/>
  </si>
  <si>
    <t>wd</t>
    <phoneticPr fontId="4" type="noConversion"/>
  </si>
  <si>
    <t>e</t>
    <phoneticPr fontId="4" type="noConversion"/>
  </si>
  <si>
    <t xml:space="preserve"> nov-264 </t>
    <phoneticPr fontId="4" type="noConversion"/>
  </si>
  <si>
    <t>마티</t>
    <phoneticPr fontId="4" type="noConversion"/>
  </si>
  <si>
    <t>od</t>
    <phoneticPr fontId="4" type="noConversion"/>
  </si>
  <si>
    <t>w</t>
    <phoneticPr fontId="4" type="noConversion"/>
  </si>
  <si>
    <t xml:space="preserve"> lan-183 </t>
    <phoneticPr fontId="4" type="noConversion"/>
  </si>
  <si>
    <t>상공사</t>
    <phoneticPr fontId="4" type="noConversion"/>
  </si>
  <si>
    <t>uf</t>
    <phoneticPr fontId="4" type="noConversion"/>
  </si>
  <si>
    <t>h</t>
    <phoneticPr fontId="4" type="noConversion"/>
  </si>
  <si>
    <t xml:space="preserve"> lan-184</t>
  </si>
  <si>
    <t>민음사</t>
    <phoneticPr fontId="4" type="noConversion"/>
  </si>
  <si>
    <t>휴가 사용 현황</t>
    <phoneticPr fontId="2" type="noConversion"/>
  </si>
  <si>
    <t>총휴가일수</t>
    <phoneticPr fontId="2" type="noConversion"/>
  </si>
  <si>
    <t>[표2]</t>
    <phoneticPr fontId="2" type="noConversion"/>
  </si>
  <si>
    <t>자격증 시험 결과</t>
    <phoneticPr fontId="2" type="noConversion"/>
  </si>
  <si>
    <t>성명</t>
    <phoneticPr fontId="2" type="noConversion"/>
  </si>
  <si>
    <t>성별</t>
    <phoneticPr fontId="2" type="noConversion"/>
  </si>
  <si>
    <t>부서명</t>
    <phoneticPr fontId="2" type="noConversion"/>
  </si>
  <si>
    <t>사용일수</t>
    <phoneticPr fontId="2" type="noConversion"/>
  </si>
  <si>
    <t>비고</t>
    <phoneticPr fontId="2" type="noConversion"/>
  </si>
  <si>
    <t>응시코드</t>
    <phoneticPr fontId="2" type="noConversion"/>
  </si>
  <si>
    <t>1차</t>
    <phoneticPr fontId="2" type="noConversion"/>
  </si>
  <si>
    <t>2차</t>
    <phoneticPr fontId="2" type="noConversion"/>
  </si>
  <si>
    <t>3차</t>
    <phoneticPr fontId="2" type="noConversion"/>
  </si>
  <si>
    <t>결과</t>
    <phoneticPr fontId="2" type="noConversion"/>
  </si>
  <si>
    <t>유삼호</t>
    <phoneticPr fontId="2" type="noConversion"/>
  </si>
  <si>
    <t>남</t>
    <phoneticPr fontId="2" type="noConversion"/>
  </si>
  <si>
    <t>영업부</t>
    <phoneticPr fontId="2" type="noConversion"/>
  </si>
  <si>
    <t>A-0001</t>
    <phoneticPr fontId="2" type="noConversion"/>
  </si>
  <si>
    <t>최서진</t>
    <phoneticPr fontId="2" type="noConversion"/>
  </si>
  <si>
    <t>여</t>
    <phoneticPr fontId="2" type="noConversion"/>
  </si>
  <si>
    <t>A-0002</t>
  </si>
  <si>
    <t>이상배</t>
    <phoneticPr fontId="2" type="noConversion"/>
  </si>
  <si>
    <t>A-0003</t>
  </si>
  <si>
    <t>한미진</t>
    <phoneticPr fontId="2" type="noConversion"/>
  </si>
  <si>
    <t>생산부</t>
    <phoneticPr fontId="2" type="noConversion"/>
  </si>
  <si>
    <t>A-0004</t>
  </si>
  <si>
    <t>김동우</t>
    <phoneticPr fontId="2" type="noConversion"/>
  </si>
  <si>
    <t>A-0005</t>
  </si>
  <si>
    <t>김도균</t>
    <phoneticPr fontId="2" type="noConversion"/>
  </si>
  <si>
    <t>A-0006</t>
  </si>
  <si>
    <t>이나은</t>
    <phoneticPr fontId="2" type="noConversion"/>
  </si>
  <si>
    <t>경리부</t>
    <phoneticPr fontId="2" type="noConversion"/>
  </si>
  <si>
    <t>A-0007</t>
  </si>
  <si>
    <t>정상은</t>
    <phoneticPr fontId="2" type="noConversion"/>
  </si>
  <si>
    <t>경리부</t>
    <phoneticPr fontId="2" type="noConversion"/>
  </si>
  <si>
    <t>A-0008</t>
  </si>
  <si>
    <t>신병규</t>
    <phoneticPr fontId="2" type="noConversion"/>
  </si>
  <si>
    <t>A-0009</t>
  </si>
  <si>
    <t>[표3]</t>
    <phoneticPr fontId="2" type="noConversion"/>
  </si>
  <si>
    <t>해외근무 응시 현황</t>
    <phoneticPr fontId="2" type="noConversion"/>
  </si>
  <si>
    <t>쇼핑몰 판매 현황</t>
    <phoneticPr fontId="2" type="noConversion"/>
  </si>
  <si>
    <t>사원명</t>
    <phoneticPr fontId="2" type="noConversion"/>
  </si>
  <si>
    <t>근무</t>
    <phoneticPr fontId="2" type="noConversion"/>
  </si>
  <si>
    <t>출근</t>
    <phoneticPr fontId="2" type="noConversion"/>
  </si>
  <si>
    <t>외국어</t>
    <phoneticPr fontId="2" type="noConversion"/>
  </si>
  <si>
    <t>상품코드</t>
    <phoneticPr fontId="2" type="noConversion"/>
  </si>
  <si>
    <t>판매량</t>
    <phoneticPr fontId="2" type="noConversion"/>
  </si>
  <si>
    <t>총판매액</t>
    <phoneticPr fontId="2" type="noConversion"/>
  </si>
  <si>
    <t>비고</t>
    <phoneticPr fontId="2" type="noConversion"/>
  </si>
  <si>
    <t>강용성</t>
    <phoneticPr fontId="2" type="noConversion"/>
  </si>
  <si>
    <t>CMK-01</t>
    <phoneticPr fontId="2" type="noConversion"/>
  </si>
  <si>
    <t>이경심</t>
    <phoneticPr fontId="2" type="noConversion"/>
  </si>
  <si>
    <t>HJH-01</t>
    <phoneticPr fontId="2" type="noConversion"/>
  </si>
  <si>
    <t>박훈석</t>
    <phoneticPr fontId="2" type="noConversion"/>
  </si>
  <si>
    <t>KES-01</t>
    <phoneticPr fontId="2" type="noConversion"/>
  </si>
  <si>
    <t>전우희</t>
    <phoneticPr fontId="2" type="noConversion"/>
  </si>
  <si>
    <t>HJH-02</t>
    <phoneticPr fontId="2" type="noConversion"/>
  </si>
  <si>
    <t>원유성</t>
    <phoneticPr fontId="2" type="noConversion"/>
  </si>
  <si>
    <t>KES-02</t>
    <phoneticPr fontId="2" type="noConversion"/>
  </si>
  <si>
    <t>기상천</t>
    <phoneticPr fontId="2" type="noConversion"/>
  </si>
  <si>
    <t>CMK-02</t>
  </si>
  <si>
    <t>박명훈</t>
    <phoneticPr fontId="2" type="noConversion"/>
  </si>
  <si>
    <t>HJH-03</t>
    <phoneticPr fontId="2" type="noConversion"/>
  </si>
  <si>
    <t>변희영</t>
    <phoneticPr fontId="2" type="noConversion"/>
  </si>
  <si>
    <t>KES-03</t>
    <phoneticPr fontId="2" type="noConversion"/>
  </si>
  <si>
    <t>이보민</t>
    <phoneticPr fontId="2" type="noConversion"/>
  </si>
  <si>
    <t>CMK-03</t>
    <phoneticPr fontId="2" type="noConversion"/>
  </si>
  <si>
    <t>교내 미술경시대회</t>
    <phoneticPr fontId="2" type="noConversion"/>
  </si>
  <si>
    <t>[표2]</t>
    <phoneticPr fontId="2" type="noConversion"/>
  </si>
  <si>
    <t>학년</t>
    <phoneticPr fontId="2" type="noConversion"/>
  </si>
  <si>
    <t>성별</t>
    <phoneticPr fontId="2" type="noConversion"/>
  </si>
  <si>
    <t>점수</t>
    <phoneticPr fontId="2" type="noConversion"/>
  </si>
  <si>
    <t>결과</t>
    <phoneticPr fontId="2" type="noConversion"/>
  </si>
  <si>
    <t>원서번호</t>
    <phoneticPr fontId="2" type="noConversion"/>
  </si>
  <si>
    <t>이름</t>
    <phoneticPr fontId="2" type="noConversion"/>
  </si>
  <si>
    <t>거주지</t>
    <phoneticPr fontId="2" type="noConversion"/>
  </si>
  <si>
    <t>지원학과</t>
    <phoneticPr fontId="2" type="noConversion"/>
  </si>
  <si>
    <t>전세권</t>
    <phoneticPr fontId="2" type="noConversion"/>
  </si>
  <si>
    <t>M-120</t>
    <phoneticPr fontId="2" type="noConversion"/>
  </si>
  <si>
    <t>이민수</t>
    <phoneticPr fontId="2" type="noConversion"/>
  </si>
  <si>
    <t>서울시 강북구</t>
    <phoneticPr fontId="2" type="noConversion"/>
  </si>
  <si>
    <t>노숙자</t>
    <phoneticPr fontId="2" type="noConversion"/>
  </si>
  <si>
    <t>여</t>
    <phoneticPr fontId="2" type="noConversion"/>
  </si>
  <si>
    <t>N-082</t>
    <phoneticPr fontId="2" type="noConversion"/>
  </si>
  <si>
    <t>김병훈</t>
    <phoneticPr fontId="2" type="noConversion"/>
  </si>
  <si>
    <t>대전시 대덕구</t>
    <phoneticPr fontId="2" type="noConversion"/>
  </si>
  <si>
    <t>하나로</t>
    <phoneticPr fontId="2" type="noConversion"/>
  </si>
  <si>
    <t>S-035</t>
    <phoneticPr fontId="2" type="noConversion"/>
  </si>
  <si>
    <t>최주영</t>
    <phoneticPr fontId="2" type="noConversion"/>
  </si>
  <si>
    <t>인천시 남동구</t>
    <phoneticPr fontId="2" type="noConversion"/>
  </si>
  <si>
    <t>육해공</t>
    <phoneticPr fontId="2" type="noConversion"/>
  </si>
  <si>
    <t>M-072</t>
    <phoneticPr fontId="2" type="noConversion"/>
  </si>
  <si>
    <t>길미라</t>
    <phoneticPr fontId="2" type="noConversion"/>
  </si>
  <si>
    <t>서울시 성북구</t>
    <phoneticPr fontId="2" type="noConversion"/>
  </si>
  <si>
    <t>정인간</t>
    <phoneticPr fontId="2" type="noConversion"/>
  </si>
  <si>
    <t>남</t>
    <phoneticPr fontId="2" type="noConversion"/>
  </si>
  <si>
    <t>S-141</t>
    <phoneticPr fontId="2" type="noConversion"/>
  </si>
  <si>
    <t>나태후</t>
    <phoneticPr fontId="2" type="noConversion"/>
  </si>
  <si>
    <t>경기도 김포시</t>
    <phoneticPr fontId="2" type="noConversion"/>
  </si>
  <si>
    <t>방귀남</t>
    <phoneticPr fontId="2" type="noConversion"/>
  </si>
  <si>
    <t>남</t>
    <phoneticPr fontId="2" type="noConversion"/>
  </si>
  <si>
    <t>N-033</t>
    <phoneticPr fontId="2" type="noConversion"/>
  </si>
  <si>
    <t>전영태</t>
    <phoneticPr fontId="2" type="noConversion"/>
  </si>
  <si>
    <t>경기도 고양시</t>
    <phoneticPr fontId="2" type="noConversion"/>
  </si>
  <si>
    <t>구주희</t>
    <phoneticPr fontId="2" type="noConversion"/>
  </si>
  <si>
    <t>M-037</t>
    <phoneticPr fontId="2" type="noConversion"/>
  </si>
  <si>
    <t>조영선</t>
    <phoneticPr fontId="2" type="noConversion"/>
  </si>
  <si>
    <t>강원도 춘천시</t>
    <phoneticPr fontId="2" type="noConversion"/>
  </si>
  <si>
    <t>이재휘</t>
    <phoneticPr fontId="2" type="noConversion"/>
  </si>
  <si>
    <t>A-028</t>
    <phoneticPr fontId="2" type="noConversion"/>
  </si>
  <si>
    <t>박민혜</t>
    <phoneticPr fontId="2" type="noConversion"/>
  </si>
  <si>
    <t>서울시 마포구</t>
    <phoneticPr fontId="2" type="noConversion"/>
  </si>
  <si>
    <t>유희지</t>
    <phoneticPr fontId="2" type="noConversion"/>
  </si>
  <si>
    <t>여</t>
    <phoneticPr fontId="2" type="noConversion"/>
  </si>
  <si>
    <t>한산의</t>
    <phoneticPr fontId="2" type="noConversion"/>
  </si>
  <si>
    <t>학과코드</t>
    <phoneticPr fontId="2" type="noConversion"/>
  </si>
  <si>
    <t>S</t>
  </si>
  <si>
    <t>N</t>
  </si>
  <si>
    <t>M</t>
  </si>
  <si>
    <t>학 과 명</t>
    <phoneticPr fontId="2" type="noConversion"/>
  </si>
  <si>
    <t>소프트웨어</t>
  </si>
  <si>
    <t>네트워크</t>
  </si>
  <si>
    <t>멀티미디어</t>
  </si>
  <si>
    <t>신제품 출시 현황</t>
    <phoneticPr fontId="2" type="noConversion"/>
  </si>
  <si>
    <t>[표4]</t>
    <phoneticPr fontId="2" type="noConversion"/>
  </si>
  <si>
    <t>제품코드</t>
    <phoneticPr fontId="2" type="noConversion"/>
  </si>
  <si>
    <t>판매총액</t>
    <phoneticPr fontId="2" type="noConversion"/>
  </si>
  <si>
    <t>이름</t>
    <phoneticPr fontId="4" type="noConversion"/>
  </si>
  <si>
    <t>국사</t>
    <phoneticPr fontId="4" type="noConversion"/>
  </si>
  <si>
    <t>상식</t>
    <phoneticPr fontId="4" type="noConversion"/>
  </si>
  <si>
    <t>총점</t>
    <phoneticPr fontId="2" type="noConversion"/>
  </si>
  <si>
    <t>점수</t>
    <phoneticPr fontId="2" type="noConversion"/>
  </si>
  <si>
    <t>BH001</t>
    <phoneticPr fontId="2" type="noConversion"/>
  </si>
  <si>
    <t>이후정</t>
    <phoneticPr fontId="2" type="noConversion"/>
  </si>
  <si>
    <t>BH002</t>
  </si>
  <si>
    <t>백천경</t>
    <phoneticPr fontId="2" type="noConversion"/>
  </si>
  <si>
    <t>BH003</t>
  </si>
  <si>
    <t>민경배</t>
    <phoneticPr fontId="2" type="noConversion"/>
  </si>
  <si>
    <t>BH004</t>
  </si>
  <si>
    <t>김태하</t>
    <phoneticPr fontId="2" type="noConversion"/>
  </si>
  <si>
    <t>BH005</t>
  </si>
  <si>
    <t>이사랑</t>
    <phoneticPr fontId="2" type="noConversion"/>
  </si>
  <si>
    <t>BH006</t>
  </si>
  <si>
    <t>곽난영</t>
    <phoneticPr fontId="2" type="noConversion"/>
  </si>
  <si>
    <t>BH007</t>
  </si>
  <si>
    <t>장채리</t>
    <phoneticPr fontId="2" type="noConversion"/>
  </si>
  <si>
    <t>BH008</t>
  </si>
  <si>
    <t>봉전미</t>
    <phoneticPr fontId="2" type="noConversion"/>
  </si>
  <si>
    <t>BH009</t>
  </si>
  <si>
    <t>BH010</t>
  </si>
  <si>
    <t>&gt;=700</t>
    <phoneticPr fontId="2" type="noConversion"/>
  </si>
  <si>
    <t>&gt;=90</t>
    <phoneticPr fontId="2" type="noConversion"/>
  </si>
  <si>
    <t>&gt;=90</t>
    <phoneticPr fontId="2" type="noConversion"/>
  </si>
  <si>
    <t>분양구분</t>
  </si>
  <si>
    <t>추첨자</t>
  </si>
  <si>
    <t>최저층</t>
  </si>
  <si>
    <t>최고층</t>
  </si>
  <si>
    <t>당첨층수</t>
  </si>
  <si>
    <t>조합원</t>
  </si>
  <si>
    <t>한국민</t>
  </si>
  <si>
    <t>조윤아</t>
  </si>
  <si>
    <t>이희선</t>
  </si>
  <si>
    <t>김지영</t>
  </si>
  <si>
    <t>김석준</t>
  </si>
  <si>
    <t>일반분양</t>
  </si>
  <si>
    <t>이가인</t>
  </si>
  <si>
    <t>권성철</t>
  </si>
  <si>
    <t>안덕성</t>
  </si>
  <si>
    <t>오연주</t>
  </si>
  <si>
    <t>김도연</t>
  </si>
  <si>
    <t>아파트 당첨현황</t>
    <phoneticPr fontId="2" type="noConversion"/>
  </si>
  <si>
    <t>추첨자</t>
    <phoneticPr fontId="2" type="noConversion"/>
  </si>
  <si>
    <t>당첨층수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</si>
</sst>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176" formatCode="0.0%"/>
    <numFmt numFmtId="177" formatCode="_-* #,##0_-;\-* #,##0_-;_-* &quot;-&quot;??_-;_-@_-"/>
    <numFmt numFmtId="178" formatCode="0_);[Red]\(0\)"/>
    <numFmt numFmtId="179" formatCode="h&quot;시&quot;&quot;간&quot;mm&quot;분&quot;"/>
    <numFmt numFmtId="180" formatCode="h:mm;@"/>
    <numFmt numFmtId="181" formatCode="mm&quot;월&quot;\ dd&quot;일&quot;"/>
    <numFmt numFmtId="182" formatCode="0\ &quot;이상&quot;"/>
    <numFmt numFmtId="183" formatCode="0\ &quot;미만&quot;"/>
    <numFmt numFmtId="184" formatCode="0\ &quot;이하&quot;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9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0" borderId="0"/>
    <xf numFmtId="0" fontId="7" fillId="0" borderId="0"/>
    <xf numFmtId="0" fontId="7" fillId="0" borderId="0"/>
    <xf numFmtId="0" fontId="7" fillId="0" borderId="0"/>
  </cellStyleXfs>
  <cellXfs count="141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0" fillId="0" borderId="0" xfId="0" applyFill="1">
      <alignment vertical="center"/>
    </xf>
    <xf numFmtId="41" fontId="5" fillId="0" borderId="1" xfId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vertical="center"/>
    </xf>
    <xf numFmtId="176" fontId="5" fillId="0" borderId="1" xfId="2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77" fontId="3" fillId="0" borderId="1" xfId="0" applyNumberFormat="1" applyFont="1" applyFill="1" applyBorder="1" applyAlignment="1">
      <alignment vertical="center"/>
    </xf>
    <xf numFmtId="178" fontId="3" fillId="0" borderId="1" xfId="0" applyNumberFormat="1" applyFont="1" applyFill="1" applyBorder="1" applyAlignment="1">
      <alignment vertical="center"/>
    </xf>
    <xf numFmtId="9" fontId="3" fillId="0" borderId="1" xfId="0" applyNumberFormat="1" applyFont="1" applyFill="1" applyBorder="1" applyAlignment="1">
      <alignment vertical="center"/>
    </xf>
    <xf numFmtId="9" fontId="5" fillId="0" borderId="1" xfId="2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5" fillId="0" borderId="1" xfId="1" applyNumberFormat="1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>
      <alignment vertical="center"/>
    </xf>
    <xf numFmtId="41" fontId="3" fillId="0" borderId="1" xfId="1" applyFont="1" applyFill="1" applyBorder="1">
      <alignment vertical="center"/>
    </xf>
    <xf numFmtId="41" fontId="3" fillId="0" borderId="1" xfId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41" fontId="3" fillId="0" borderId="1" xfId="1" applyFont="1" applyFill="1" applyBorder="1" applyAlignment="1">
      <alignment vertical="center"/>
    </xf>
    <xf numFmtId="0" fontId="5" fillId="0" borderId="0" xfId="3" applyFont="1" applyFill="1">
      <alignment vertical="center"/>
    </xf>
    <xf numFmtId="0" fontId="5" fillId="0" borderId="1" xfId="3" applyFont="1" applyFill="1" applyBorder="1" applyAlignment="1">
      <alignment horizontal="center" vertical="center"/>
    </xf>
    <xf numFmtId="14" fontId="5" fillId="0" borderId="1" xfId="3" applyNumberFormat="1" applyFont="1" applyFill="1" applyBorder="1" applyAlignment="1">
      <alignment horizontal="center" vertical="center"/>
    </xf>
    <xf numFmtId="0" fontId="5" fillId="0" borderId="1" xfId="3" applyNumberFormat="1" applyFont="1" applyFill="1" applyBorder="1" applyAlignment="1">
      <alignment horizontal="center" vertical="center"/>
    </xf>
    <xf numFmtId="41" fontId="3" fillId="0" borderId="1" xfId="1" applyFont="1" applyFill="1" applyBorder="1" applyAlignment="1">
      <alignment horizontal="right" vertical="center"/>
    </xf>
    <xf numFmtId="0" fontId="5" fillId="0" borderId="0" xfId="3" applyFont="1" applyFill="1" applyBorder="1" applyAlignment="1">
      <alignment horizontal="center"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41" fontId="3" fillId="0" borderId="1" xfId="4" applyFont="1" applyFill="1" applyBorder="1" applyAlignment="1">
      <alignment horizontal="center" vertical="center"/>
    </xf>
    <xf numFmtId="0" fontId="5" fillId="0" borderId="0" xfId="3" applyFont="1" applyFill="1" applyAlignment="1">
      <alignment horizontal="right"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179" fontId="3" fillId="0" borderId="1" xfId="0" applyNumberFormat="1" applyFont="1" applyFill="1" applyBorder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0" fillId="0" borderId="1" xfId="5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" xfId="5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/>
    </xf>
    <xf numFmtId="41" fontId="10" fillId="0" borderId="1" xfId="4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/>
    </xf>
    <xf numFmtId="181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1" applyFont="1" applyFill="1" applyBorder="1" applyAlignment="1">
      <alignment horizontal="center" vertical="center"/>
    </xf>
    <xf numFmtId="0" fontId="5" fillId="0" borderId="0" xfId="3" applyNumberFormat="1" applyFont="1" applyFill="1" applyBorder="1" applyAlignment="1">
      <alignment horizontal="center" vertical="center"/>
    </xf>
    <xf numFmtId="41" fontId="5" fillId="0" borderId="0" xfId="4" applyFont="1" applyFill="1" applyBorder="1" applyAlignment="1">
      <alignment horizontal="center" vertical="center"/>
    </xf>
    <xf numFmtId="0" fontId="5" fillId="0" borderId="12" xfId="3" applyNumberFormat="1" applyFont="1" applyFill="1" applyBorder="1" applyAlignment="1">
      <alignment horizontal="left" vertical="center"/>
    </xf>
    <xf numFmtId="182" fontId="5" fillId="0" borderId="4" xfId="3" applyNumberFormat="1" applyFont="1" applyFill="1" applyBorder="1" applyAlignment="1">
      <alignment horizontal="center" vertical="center"/>
    </xf>
    <xf numFmtId="182" fontId="5" fillId="0" borderId="1" xfId="3" applyNumberFormat="1" applyFont="1" applyFill="1" applyBorder="1" applyAlignment="1">
      <alignment horizontal="center" vertical="center"/>
    </xf>
    <xf numFmtId="183" fontId="3" fillId="0" borderId="1" xfId="0" applyNumberFormat="1" applyFont="1" applyFill="1" applyBorder="1" applyAlignment="1">
      <alignment horizontal="center" vertical="center"/>
    </xf>
    <xf numFmtId="184" fontId="3" fillId="0" borderId="1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14" fontId="3" fillId="0" borderId="0" xfId="0" applyNumberFormat="1" applyFont="1" applyFill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1" xfId="1" applyNumberFormat="1" applyFont="1" applyFill="1" applyBorder="1" applyAlignment="1">
      <alignment horizontal="center" vertical="center"/>
    </xf>
    <xf numFmtId="0" fontId="11" fillId="0" borderId="0" xfId="3" applyFont="1" applyFill="1">
      <alignment vertical="center"/>
    </xf>
    <xf numFmtId="0" fontId="11" fillId="0" borderId="0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vertical="center"/>
    </xf>
    <xf numFmtId="0" fontId="5" fillId="0" borderId="1" xfId="7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/>
    <xf numFmtId="0" fontId="3" fillId="0" borderId="0" xfId="0" applyFont="1" applyFill="1" applyAlignment="1"/>
    <xf numFmtId="14" fontId="3" fillId="0" borderId="1" xfId="0" applyNumberFormat="1" applyFont="1" applyFill="1" applyBorder="1" applyAlignment="1"/>
    <xf numFmtId="0" fontId="5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5" fillId="2" borderId="1" xfId="3" applyNumberFormat="1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1" xfId="8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3" fillId="0" borderId="1" xfId="1" applyFont="1" applyBorder="1">
      <alignment vertical="center"/>
    </xf>
    <xf numFmtId="0" fontId="5" fillId="0" borderId="1" xfId="3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1" fontId="3" fillId="0" borderId="1" xfId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5" fillId="0" borderId="6" xfId="3" applyNumberFormat="1" applyFont="1" applyFill="1" applyBorder="1" applyAlignment="1">
      <alignment horizontal="center" vertical="center"/>
    </xf>
    <xf numFmtId="0" fontId="5" fillId="0" borderId="7" xfId="3" applyNumberFormat="1" applyFont="1" applyFill="1" applyBorder="1" applyAlignment="1">
      <alignment horizontal="center" vertical="center"/>
    </xf>
  </cellXfs>
  <cellStyles count="9">
    <cellStyle name="백분율" xfId="2" builtinId="5"/>
    <cellStyle name="쉼표 [0]" xfId="1" builtinId="6"/>
    <cellStyle name="쉼표 [0] 2 2" xfId="4"/>
    <cellStyle name="표준" xfId="0" builtinId="0"/>
    <cellStyle name="표준 2 2" xfId="3"/>
    <cellStyle name="표준_기본작업-2" xfId="7"/>
    <cellStyle name="표준_기본작업-3" xfId="8"/>
    <cellStyle name="표준_레미콘_어음" xfId="5"/>
    <cellStyle name="표준_소책자(1급)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/>
  </sheetViews>
  <sheetFormatPr defaultColWidth="9" defaultRowHeight="17"/>
  <cols>
    <col min="1" max="2" width="9" style="8"/>
    <col min="3" max="3" width="10.83203125" style="8" bestFit="1" customWidth="1"/>
    <col min="4" max="4" width="11.58203125" style="8" bestFit="1" customWidth="1"/>
    <col min="5" max="7" width="9" style="8"/>
    <col min="8" max="8" width="11.08203125" style="8" customWidth="1"/>
    <col min="9" max="16384" width="9" style="8"/>
  </cols>
  <sheetData>
    <row r="1" spans="1:9">
      <c r="A1" s="7" t="s">
        <v>0</v>
      </c>
      <c r="B1" s="7" t="s">
        <v>1</v>
      </c>
      <c r="C1" s="7"/>
      <c r="D1" s="7"/>
      <c r="E1" s="7"/>
      <c r="F1" s="3" t="s">
        <v>2</v>
      </c>
      <c r="G1" s="7" t="s">
        <v>3</v>
      </c>
      <c r="H1" s="4"/>
      <c r="I1" s="7"/>
    </row>
    <row r="2" spans="1:9">
      <c r="A2" s="86" t="s">
        <v>4</v>
      </c>
      <c r="B2" s="86" t="s">
        <v>5</v>
      </c>
      <c r="C2" s="86" t="s">
        <v>6</v>
      </c>
      <c r="D2" s="91" t="s">
        <v>7</v>
      </c>
      <c r="E2" s="7"/>
      <c r="F2" s="5" t="s">
        <v>8</v>
      </c>
      <c r="G2" s="5" t="s">
        <v>9</v>
      </c>
      <c r="H2" s="86" t="s">
        <v>10</v>
      </c>
      <c r="I2" s="91" t="s">
        <v>11</v>
      </c>
    </row>
    <row r="3" spans="1:9">
      <c r="A3" s="86" t="s">
        <v>12</v>
      </c>
      <c r="B3" s="86">
        <v>327</v>
      </c>
      <c r="C3" s="9">
        <f>B3*3000</f>
        <v>981000</v>
      </c>
      <c r="D3" s="9"/>
      <c r="E3" s="7"/>
      <c r="F3" s="5" t="s">
        <v>13</v>
      </c>
      <c r="G3" s="6">
        <v>5</v>
      </c>
      <c r="H3" s="10">
        <v>5</v>
      </c>
      <c r="I3" s="11"/>
    </row>
    <row r="4" spans="1:9">
      <c r="A4" s="86" t="s">
        <v>14</v>
      </c>
      <c r="B4" s="86">
        <v>370</v>
      </c>
      <c r="C4" s="9">
        <f>B4*350</f>
        <v>129500</v>
      </c>
      <c r="D4" s="9"/>
      <c r="E4" s="7"/>
      <c r="F4" s="5" t="s">
        <v>15</v>
      </c>
      <c r="G4" s="6">
        <v>20</v>
      </c>
      <c r="H4" s="10">
        <v>25</v>
      </c>
      <c r="I4" s="11"/>
    </row>
    <row r="5" spans="1:9">
      <c r="A5" s="86" t="s">
        <v>16</v>
      </c>
      <c r="B5" s="86">
        <v>450</v>
      </c>
      <c r="C5" s="9">
        <f>B5*6500</f>
        <v>2925000</v>
      </c>
      <c r="D5" s="9"/>
      <c r="E5" s="7"/>
      <c r="F5" s="5" t="s">
        <v>17</v>
      </c>
      <c r="G5" s="6">
        <v>15</v>
      </c>
      <c r="H5" s="10">
        <v>40</v>
      </c>
      <c r="I5" s="11"/>
    </row>
    <row r="6" spans="1:9">
      <c r="A6" s="86" t="s">
        <v>18</v>
      </c>
      <c r="B6" s="86">
        <v>900</v>
      </c>
      <c r="C6" s="9">
        <f>B6*340</f>
        <v>306000</v>
      </c>
      <c r="D6" s="9"/>
      <c r="E6" s="7"/>
      <c r="F6" s="5" t="s">
        <v>19</v>
      </c>
      <c r="G6" s="6">
        <v>7</v>
      </c>
      <c r="H6" s="10">
        <v>47</v>
      </c>
      <c r="I6" s="11"/>
    </row>
    <row r="7" spans="1:9">
      <c r="A7" s="86" t="s">
        <v>20</v>
      </c>
      <c r="B7" s="86">
        <v>789</v>
      </c>
      <c r="C7" s="9">
        <f>B7*220</f>
        <v>173580</v>
      </c>
      <c r="D7" s="9"/>
      <c r="E7" s="7"/>
      <c r="F7" s="5" t="s">
        <v>21</v>
      </c>
      <c r="G7" s="6">
        <v>3</v>
      </c>
      <c r="H7" s="10">
        <v>50</v>
      </c>
      <c r="I7" s="11"/>
    </row>
    <row r="8" spans="1:9">
      <c r="A8" s="86" t="s">
        <v>22</v>
      </c>
      <c r="B8" s="86">
        <v>670</v>
      </c>
      <c r="C8" s="9">
        <f>B8*550</f>
        <v>368500</v>
      </c>
      <c r="D8" s="9"/>
      <c r="E8" s="7"/>
      <c r="F8" s="5" t="s">
        <v>23</v>
      </c>
      <c r="G8" s="12">
        <f>SUM(G3:G7)</f>
        <v>50</v>
      </c>
      <c r="H8" s="13"/>
      <c r="I8" s="13"/>
    </row>
    <row r="9" spans="1:9">
      <c r="A9" s="14"/>
      <c r="B9" s="86" t="s">
        <v>24</v>
      </c>
      <c r="C9" s="15">
        <v>0.25</v>
      </c>
      <c r="D9" s="16"/>
      <c r="E9" s="7"/>
      <c r="F9" s="7"/>
      <c r="G9" s="7"/>
      <c r="H9" s="7"/>
      <c r="I9" s="7"/>
    </row>
    <row r="10" spans="1:9">
      <c r="A10" s="7"/>
      <c r="B10" s="7"/>
      <c r="C10" s="7"/>
      <c r="D10" s="7"/>
      <c r="E10" s="7"/>
      <c r="F10" s="7"/>
      <c r="G10" s="7" t="s">
        <v>25</v>
      </c>
      <c r="H10" s="7" t="s">
        <v>26</v>
      </c>
      <c r="I10" s="7"/>
    </row>
    <row r="11" spans="1:9">
      <c r="A11" s="17" t="s">
        <v>27</v>
      </c>
      <c r="B11" s="17" t="s">
        <v>28</v>
      </c>
      <c r="C11" s="7"/>
      <c r="D11" s="7"/>
      <c r="E11" s="7"/>
      <c r="F11" s="7"/>
      <c r="G11" s="86" t="s">
        <v>29</v>
      </c>
      <c r="H11" s="86" t="s">
        <v>30</v>
      </c>
      <c r="I11" s="91" t="s">
        <v>31</v>
      </c>
    </row>
    <row r="12" spans="1:9">
      <c r="A12" s="86" t="s">
        <v>32</v>
      </c>
      <c r="B12" s="86" t="s">
        <v>33</v>
      </c>
      <c r="C12" s="86" t="s">
        <v>34</v>
      </c>
      <c r="D12" s="86" t="s">
        <v>35</v>
      </c>
      <c r="E12" s="91" t="s">
        <v>36</v>
      </c>
      <c r="F12" s="7"/>
      <c r="G12" s="86" t="s">
        <v>37</v>
      </c>
      <c r="H12" s="10">
        <v>75</v>
      </c>
      <c r="I12" s="18"/>
    </row>
    <row r="13" spans="1:9">
      <c r="A13" s="86" t="s">
        <v>38</v>
      </c>
      <c r="B13" s="19">
        <v>15</v>
      </c>
      <c r="C13" s="10">
        <v>2550000</v>
      </c>
      <c r="D13" s="20">
        <v>0.15</v>
      </c>
      <c r="E13" s="10"/>
      <c r="F13" s="7"/>
      <c r="G13" s="86" t="s">
        <v>39</v>
      </c>
      <c r="H13" s="10">
        <v>65</v>
      </c>
      <c r="I13" s="18"/>
    </row>
    <row r="14" spans="1:9">
      <c r="A14" s="86" t="s">
        <v>40</v>
      </c>
      <c r="B14" s="19">
        <v>9</v>
      </c>
      <c r="C14" s="10">
        <v>1500000</v>
      </c>
      <c r="D14" s="20">
        <v>0.1</v>
      </c>
      <c r="E14" s="10"/>
      <c r="F14" s="7"/>
      <c r="G14" s="86" t="s">
        <v>41</v>
      </c>
      <c r="H14" s="10">
        <v>56</v>
      </c>
      <c r="I14" s="18"/>
    </row>
    <row r="15" spans="1:9">
      <c r="A15" s="86" t="s">
        <v>42</v>
      </c>
      <c r="B15" s="19">
        <v>10</v>
      </c>
      <c r="C15" s="10">
        <v>2000000</v>
      </c>
      <c r="D15" s="20">
        <v>0.12</v>
      </c>
      <c r="E15" s="10"/>
      <c r="F15" s="7"/>
      <c r="G15" s="86" t="s">
        <v>43</v>
      </c>
      <c r="H15" s="10">
        <v>76</v>
      </c>
      <c r="I15" s="18"/>
    </row>
    <row r="16" spans="1:9">
      <c r="A16" s="86" t="s">
        <v>44</v>
      </c>
      <c r="B16" s="19">
        <v>8</v>
      </c>
      <c r="C16" s="10">
        <v>2200000</v>
      </c>
      <c r="D16" s="20">
        <v>0.1</v>
      </c>
      <c r="E16" s="10"/>
      <c r="F16" s="7"/>
      <c r="G16" s="86" t="s">
        <v>45</v>
      </c>
      <c r="H16" s="10">
        <v>56</v>
      </c>
      <c r="I16" s="18"/>
    </row>
    <row r="17" spans="1:9">
      <c r="A17" s="86" t="s">
        <v>46</v>
      </c>
      <c r="B17" s="19">
        <v>4</v>
      </c>
      <c r="C17" s="10">
        <v>1300000</v>
      </c>
      <c r="D17" s="20">
        <v>7.0000000000000007E-2</v>
      </c>
      <c r="E17" s="10"/>
      <c r="F17" s="7"/>
      <c r="G17" s="86" t="s">
        <v>47</v>
      </c>
      <c r="H17" s="10">
        <v>85</v>
      </c>
      <c r="I17" s="18"/>
    </row>
    <row r="18" spans="1:9">
      <c r="A18" s="113" t="s">
        <v>48</v>
      </c>
      <c r="B18" s="113"/>
      <c r="C18" s="21">
        <v>0.06</v>
      </c>
      <c r="D18" s="7"/>
      <c r="E18" s="7"/>
      <c r="F18" s="7"/>
      <c r="G18" s="7"/>
      <c r="H18" s="7"/>
      <c r="I18" s="7"/>
    </row>
    <row r="19" spans="1:9">
      <c r="A19" s="7"/>
      <c r="B19" s="7"/>
      <c r="C19" s="7"/>
      <c r="D19" s="7"/>
      <c r="E19" s="7"/>
      <c r="F19" s="7"/>
      <c r="G19" s="86" t="s">
        <v>49</v>
      </c>
      <c r="H19" s="86" t="s">
        <v>50</v>
      </c>
      <c r="I19" s="7"/>
    </row>
    <row r="20" spans="1:9">
      <c r="A20" s="7" t="s">
        <v>51</v>
      </c>
      <c r="B20" s="7" t="s">
        <v>52</v>
      </c>
      <c r="C20" s="7"/>
      <c r="D20" s="7"/>
      <c r="E20" s="7"/>
      <c r="F20" s="7"/>
      <c r="G20" s="22">
        <v>250000</v>
      </c>
      <c r="H20" s="20">
        <v>0.2</v>
      </c>
      <c r="I20" s="7"/>
    </row>
    <row r="21" spans="1:9">
      <c r="A21" s="86" t="s">
        <v>53</v>
      </c>
      <c r="B21" s="86" t="s">
        <v>54</v>
      </c>
      <c r="C21" s="86" t="s">
        <v>55</v>
      </c>
      <c r="D21" s="91" t="s">
        <v>56</v>
      </c>
      <c r="E21" s="7"/>
      <c r="F21" s="7"/>
      <c r="G21" s="7"/>
      <c r="H21" s="7"/>
      <c r="I21" s="7"/>
    </row>
    <row r="22" spans="1:9">
      <c r="A22" s="86" t="s">
        <v>57</v>
      </c>
      <c r="B22" s="23">
        <v>50</v>
      </c>
      <c r="C22" s="23">
        <v>23</v>
      </c>
      <c r="D22" s="23"/>
      <c r="E22" s="7"/>
      <c r="F22" s="7"/>
      <c r="G22" s="7"/>
      <c r="H22" s="7"/>
      <c r="I22" s="7"/>
    </row>
    <row r="23" spans="1:9">
      <c r="A23" s="86" t="s">
        <v>58</v>
      </c>
      <c r="B23" s="23">
        <v>72</v>
      </c>
      <c r="C23" s="23">
        <v>14</v>
      </c>
      <c r="D23" s="23"/>
      <c r="E23" s="7"/>
      <c r="F23" s="7"/>
      <c r="G23" s="7"/>
      <c r="H23" s="7"/>
      <c r="I23" s="7"/>
    </row>
    <row r="24" spans="1:9">
      <c r="A24" s="86" t="s">
        <v>59</v>
      </c>
      <c r="B24" s="23">
        <v>85</v>
      </c>
      <c r="C24" s="23">
        <v>29</v>
      </c>
      <c r="D24" s="23"/>
      <c r="E24" s="7"/>
      <c r="F24" s="7"/>
      <c r="G24" s="7"/>
      <c r="H24" s="7"/>
      <c r="I24" s="7"/>
    </row>
    <row r="25" spans="1:9">
      <c r="A25" s="86" t="s">
        <v>60</v>
      </c>
      <c r="B25" s="23">
        <v>15</v>
      </c>
      <c r="C25" s="23">
        <v>2</v>
      </c>
      <c r="D25" s="23"/>
      <c r="E25" s="7"/>
      <c r="F25" s="7"/>
      <c r="G25" s="7"/>
      <c r="H25" s="7"/>
      <c r="I25" s="7"/>
    </row>
    <row r="26" spans="1:9">
      <c r="A26" s="86" t="s">
        <v>61</v>
      </c>
      <c r="B26" s="23">
        <v>78</v>
      </c>
      <c r="C26" s="23">
        <v>7</v>
      </c>
      <c r="D26" s="23"/>
      <c r="E26" s="7"/>
      <c r="F26" s="7"/>
      <c r="G26" s="7"/>
      <c r="H26" s="7"/>
      <c r="I26" s="7"/>
    </row>
    <row r="27" spans="1:9">
      <c r="A27" s="86" t="s">
        <v>62</v>
      </c>
      <c r="B27" s="23">
        <v>56</v>
      </c>
      <c r="C27" s="23">
        <v>5</v>
      </c>
      <c r="D27" s="23"/>
      <c r="E27" s="7"/>
      <c r="F27" s="7"/>
      <c r="G27" s="7"/>
      <c r="H27" s="7"/>
      <c r="I27" s="7"/>
    </row>
    <row r="28" spans="1:9">
      <c r="A28" s="114" t="s">
        <v>63</v>
      </c>
      <c r="B28" s="115"/>
      <c r="C28" s="24">
        <v>0.11</v>
      </c>
      <c r="D28" s="25"/>
      <c r="E28" s="7"/>
      <c r="F28" s="7"/>
      <c r="G28" s="7"/>
      <c r="H28" s="7"/>
      <c r="I28" s="7"/>
    </row>
    <row r="29" spans="1:9">
      <c r="A29" s="114" t="s">
        <v>64</v>
      </c>
      <c r="B29" s="115"/>
      <c r="C29" s="24">
        <v>-0.06</v>
      </c>
      <c r="D29" s="25"/>
      <c r="E29" s="7"/>
      <c r="F29" s="7"/>
      <c r="G29" s="7"/>
      <c r="H29" s="7"/>
      <c r="I29" s="7"/>
    </row>
  </sheetData>
  <mergeCells count="3">
    <mergeCell ref="A18:B18"/>
    <mergeCell ref="A28:B28"/>
    <mergeCell ref="A29:B29"/>
  </mergeCells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/>
  </sheetViews>
  <sheetFormatPr defaultColWidth="9" defaultRowHeight="17"/>
  <cols>
    <col min="1" max="2" width="9" style="8"/>
    <col min="3" max="3" width="10.83203125" style="8" bestFit="1" customWidth="1"/>
    <col min="4" max="4" width="11.58203125" style="8" bestFit="1" customWidth="1"/>
    <col min="5" max="5" width="10.58203125" style="8" bestFit="1" customWidth="1"/>
    <col min="6" max="7" width="9" style="8"/>
    <col min="8" max="8" width="11.08203125" style="8" customWidth="1"/>
    <col min="9" max="9" width="11.6640625" style="8" bestFit="1" customWidth="1"/>
    <col min="10" max="16384" width="9" style="8"/>
  </cols>
  <sheetData>
    <row r="1" spans="1:9">
      <c r="A1" s="7" t="s">
        <v>0</v>
      </c>
      <c r="B1" s="7" t="s">
        <v>1</v>
      </c>
      <c r="C1" s="7"/>
      <c r="D1" s="7"/>
      <c r="E1" s="7"/>
      <c r="F1" s="3" t="s">
        <v>2</v>
      </c>
      <c r="G1" s="7" t="s">
        <v>3</v>
      </c>
      <c r="H1" s="4"/>
      <c r="I1" s="7"/>
    </row>
    <row r="2" spans="1:9">
      <c r="A2" s="2" t="s">
        <v>4</v>
      </c>
      <c r="B2" s="2" t="s">
        <v>5</v>
      </c>
      <c r="C2" s="2" t="s">
        <v>6</v>
      </c>
      <c r="D2" s="90" t="s">
        <v>7</v>
      </c>
      <c r="E2" s="7"/>
      <c r="F2" s="5" t="s">
        <v>8</v>
      </c>
      <c r="G2" s="5" t="s">
        <v>9</v>
      </c>
      <c r="H2" s="2" t="s">
        <v>10</v>
      </c>
      <c r="I2" s="90" t="s">
        <v>11</v>
      </c>
    </row>
    <row r="3" spans="1:9">
      <c r="A3" s="2" t="s">
        <v>12</v>
      </c>
      <c r="B3" s="2">
        <v>327</v>
      </c>
      <c r="C3" s="9">
        <f>B3*3000</f>
        <v>981000</v>
      </c>
      <c r="D3" s="9">
        <f>C3*$C$9</f>
        <v>245250</v>
      </c>
      <c r="E3" s="7"/>
      <c r="F3" s="5" t="s">
        <v>13</v>
      </c>
      <c r="G3" s="6">
        <v>5</v>
      </c>
      <c r="H3" s="10">
        <v>5</v>
      </c>
      <c r="I3" s="11">
        <f>H3/$G$8</f>
        <v>0.1</v>
      </c>
    </row>
    <row r="4" spans="1:9">
      <c r="A4" s="2" t="s">
        <v>14</v>
      </c>
      <c r="B4" s="2">
        <v>370</v>
      </c>
      <c r="C4" s="9">
        <f>B4*350</f>
        <v>129500</v>
      </c>
      <c r="D4" s="9">
        <f t="shared" ref="D4:D8" si="0">C4*$C$9</f>
        <v>32375</v>
      </c>
      <c r="E4" s="7"/>
      <c r="F4" s="5" t="s">
        <v>15</v>
      </c>
      <c r="G4" s="6">
        <v>20</v>
      </c>
      <c r="H4" s="10">
        <v>25</v>
      </c>
      <c r="I4" s="11">
        <f t="shared" ref="I4:I7" si="1">H4/$G$8</f>
        <v>0.5</v>
      </c>
    </row>
    <row r="5" spans="1:9">
      <c r="A5" s="2" t="s">
        <v>16</v>
      </c>
      <c r="B5" s="2">
        <v>450</v>
      </c>
      <c r="C5" s="9">
        <f>B5*6500</f>
        <v>2925000</v>
      </c>
      <c r="D5" s="9">
        <f t="shared" si="0"/>
        <v>731250</v>
      </c>
      <c r="E5" s="7"/>
      <c r="F5" s="5" t="s">
        <v>17</v>
      </c>
      <c r="G5" s="6">
        <v>15</v>
      </c>
      <c r="H5" s="10">
        <v>40</v>
      </c>
      <c r="I5" s="11">
        <f t="shared" si="1"/>
        <v>0.8</v>
      </c>
    </row>
    <row r="6" spans="1:9">
      <c r="A6" s="2" t="s">
        <v>18</v>
      </c>
      <c r="B6" s="2">
        <v>900</v>
      </c>
      <c r="C6" s="9">
        <f>B6*340</f>
        <v>306000</v>
      </c>
      <c r="D6" s="9">
        <f t="shared" si="0"/>
        <v>76500</v>
      </c>
      <c r="E6" s="7"/>
      <c r="F6" s="5" t="s">
        <v>19</v>
      </c>
      <c r="G6" s="6">
        <v>7</v>
      </c>
      <c r="H6" s="10">
        <v>47</v>
      </c>
      <c r="I6" s="11">
        <f t="shared" si="1"/>
        <v>0.94</v>
      </c>
    </row>
    <row r="7" spans="1:9">
      <c r="A7" s="2" t="s">
        <v>20</v>
      </c>
      <c r="B7" s="2">
        <v>789</v>
      </c>
      <c r="C7" s="9">
        <f>B7*220</f>
        <v>173580</v>
      </c>
      <c r="D7" s="9">
        <f t="shared" si="0"/>
        <v>43395</v>
      </c>
      <c r="E7" s="7"/>
      <c r="F7" s="5" t="s">
        <v>21</v>
      </c>
      <c r="G7" s="6">
        <v>3</v>
      </c>
      <c r="H7" s="10">
        <v>50</v>
      </c>
      <c r="I7" s="11">
        <f t="shared" si="1"/>
        <v>1</v>
      </c>
    </row>
    <row r="8" spans="1:9">
      <c r="A8" s="2" t="s">
        <v>22</v>
      </c>
      <c r="B8" s="2">
        <v>670</v>
      </c>
      <c r="C8" s="9">
        <f>B8*550</f>
        <v>368500</v>
      </c>
      <c r="D8" s="9">
        <f t="shared" si="0"/>
        <v>92125</v>
      </c>
      <c r="E8" s="7"/>
      <c r="F8" s="5" t="s">
        <v>23</v>
      </c>
      <c r="G8" s="12">
        <f>SUM(G3:G7)</f>
        <v>50</v>
      </c>
      <c r="H8" s="13"/>
      <c r="I8" s="13"/>
    </row>
    <row r="9" spans="1:9">
      <c r="A9" s="14"/>
      <c r="B9" s="2" t="s">
        <v>24</v>
      </c>
      <c r="C9" s="15">
        <v>0.25</v>
      </c>
      <c r="D9" s="16"/>
      <c r="E9" s="7"/>
      <c r="F9" s="7"/>
      <c r="G9" s="7"/>
      <c r="H9" s="7"/>
      <c r="I9" s="7"/>
    </row>
    <row r="10" spans="1:9">
      <c r="A10" s="7"/>
      <c r="B10" s="7"/>
      <c r="C10" s="7"/>
      <c r="D10" s="7"/>
      <c r="E10" s="7"/>
      <c r="F10" s="7"/>
      <c r="G10" s="7" t="s">
        <v>25</v>
      </c>
      <c r="H10" s="7" t="s">
        <v>26</v>
      </c>
      <c r="I10" s="7"/>
    </row>
    <row r="11" spans="1:9">
      <c r="A11" s="17" t="s">
        <v>27</v>
      </c>
      <c r="B11" s="17" t="s">
        <v>28</v>
      </c>
      <c r="C11" s="7"/>
      <c r="D11" s="7"/>
      <c r="E11" s="7"/>
      <c r="F11" s="7"/>
      <c r="G11" s="2" t="s">
        <v>29</v>
      </c>
      <c r="H11" s="2" t="s">
        <v>30</v>
      </c>
      <c r="I11" s="90" t="s">
        <v>31</v>
      </c>
    </row>
    <row r="12" spans="1:9">
      <c r="A12" s="2" t="s">
        <v>32</v>
      </c>
      <c r="B12" s="2" t="s">
        <v>33</v>
      </c>
      <c r="C12" s="2" t="s">
        <v>34</v>
      </c>
      <c r="D12" s="2" t="s">
        <v>35</v>
      </c>
      <c r="E12" s="90" t="s">
        <v>36</v>
      </c>
      <c r="F12" s="7"/>
      <c r="G12" s="2" t="s">
        <v>37</v>
      </c>
      <c r="H12" s="10">
        <v>75</v>
      </c>
      <c r="I12" s="18">
        <f>(H12*$G$20)*(1-$H$20)</f>
        <v>15000000</v>
      </c>
    </row>
    <row r="13" spans="1:9">
      <c r="A13" s="2" t="s">
        <v>38</v>
      </c>
      <c r="B13" s="19">
        <v>15</v>
      </c>
      <c r="C13" s="10">
        <v>2550000</v>
      </c>
      <c r="D13" s="20">
        <v>0.15</v>
      </c>
      <c r="E13" s="10">
        <f>C13+C13*(D13+$C$18)</f>
        <v>3085500</v>
      </c>
      <c r="F13" s="7"/>
      <c r="G13" s="2" t="s">
        <v>39</v>
      </c>
      <c r="H13" s="10">
        <v>65</v>
      </c>
      <c r="I13" s="18">
        <f t="shared" ref="I13:I17" si="2">(H13*$G$20)*(1-$H$20)</f>
        <v>13000000</v>
      </c>
    </row>
    <row r="14" spans="1:9">
      <c r="A14" s="2" t="s">
        <v>40</v>
      </c>
      <c r="B14" s="19">
        <v>9</v>
      </c>
      <c r="C14" s="10">
        <v>1500000</v>
      </c>
      <c r="D14" s="20">
        <v>0.1</v>
      </c>
      <c r="E14" s="10">
        <f t="shared" ref="E14:E17" si="3">C14+C14*(D14+$C$18)</f>
        <v>1740000</v>
      </c>
      <c r="F14" s="7"/>
      <c r="G14" s="2" t="s">
        <v>41</v>
      </c>
      <c r="H14" s="10">
        <v>56</v>
      </c>
      <c r="I14" s="18">
        <f t="shared" si="2"/>
        <v>11200000</v>
      </c>
    </row>
    <row r="15" spans="1:9">
      <c r="A15" s="2" t="s">
        <v>42</v>
      </c>
      <c r="B15" s="19">
        <v>10</v>
      </c>
      <c r="C15" s="10">
        <v>2000000</v>
      </c>
      <c r="D15" s="20">
        <v>0.12</v>
      </c>
      <c r="E15" s="10">
        <f t="shared" si="3"/>
        <v>2360000</v>
      </c>
      <c r="F15" s="7"/>
      <c r="G15" s="2" t="s">
        <v>43</v>
      </c>
      <c r="H15" s="10">
        <v>76</v>
      </c>
      <c r="I15" s="18">
        <f t="shared" si="2"/>
        <v>15200000</v>
      </c>
    </row>
    <row r="16" spans="1:9">
      <c r="A16" s="2" t="s">
        <v>44</v>
      </c>
      <c r="B16" s="19">
        <v>8</v>
      </c>
      <c r="C16" s="10">
        <v>2200000</v>
      </c>
      <c r="D16" s="20">
        <v>0.1</v>
      </c>
      <c r="E16" s="10">
        <f t="shared" si="3"/>
        <v>2552000</v>
      </c>
      <c r="F16" s="7"/>
      <c r="G16" s="2" t="s">
        <v>45</v>
      </c>
      <c r="H16" s="10">
        <v>56</v>
      </c>
      <c r="I16" s="18">
        <f t="shared" si="2"/>
        <v>11200000</v>
      </c>
    </row>
    <row r="17" spans="1:9">
      <c r="A17" s="2" t="s">
        <v>46</v>
      </c>
      <c r="B17" s="19">
        <v>4</v>
      </c>
      <c r="C17" s="10">
        <v>1300000</v>
      </c>
      <c r="D17" s="20">
        <v>7.0000000000000007E-2</v>
      </c>
      <c r="E17" s="10">
        <f t="shared" si="3"/>
        <v>1469000</v>
      </c>
      <c r="F17" s="7"/>
      <c r="G17" s="2" t="s">
        <v>47</v>
      </c>
      <c r="H17" s="10">
        <v>85</v>
      </c>
      <c r="I17" s="18">
        <f t="shared" si="2"/>
        <v>17000000</v>
      </c>
    </row>
    <row r="18" spans="1:9">
      <c r="A18" s="113" t="s">
        <v>48</v>
      </c>
      <c r="B18" s="113"/>
      <c r="C18" s="21">
        <v>0.06</v>
      </c>
      <c r="D18" s="7"/>
      <c r="E18" s="7"/>
      <c r="F18" s="7"/>
      <c r="G18" s="7"/>
      <c r="H18" s="7"/>
      <c r="I18" s="7"/>
    </row>
    <row r="19" spans="1:9">
      <c r="A19" s="7"/>
      <c r="B19" s="7"/>
      <c r="C19" s="7"/>
      <c r="D19" s="7"/>
      <c r="E19" s="7"/>
      <c r="F19" s="7"/>
      <c r="G19" s="2" t="s">
        <v>49</v>
      </c>
      <c r="H19" s="2" t="s">
        <v>50</v>
      </c>
      <c r="I19" s="7"/>
    </row>
    <row r="20" spans="1:9">
      <c r="A20" s="7" t="s">
        <v>51</v>
      </c>
      <c r="B20" s="7" t="s">
        <v>52</v>
      </c>
      <c r="C20" s="7"/>
      <c r="D20" s="7"/>
      <c r="E20" s="7"/>
      <c r="F20" s="7"/>
      <c r="G20" s="22">
        <v>250000</v>
      </c>
      <c r="H20" s="20">
        <v>0.2</v>
      </c>
      <c r="I20" s="7"/>
    </row>
    <row r="21" spans="1:9">
      <c r="A21" s="2" t="s">
        <v>53</v>
      </c>
      <c r="B21" s="2" t="s">
        <v>54</v>
      </c>
      <c r="C21" s="2" t="s">
        <v>55</v>
      </c>
      <c r="D21" s="90" t="s">
        <v>56</v>
      </c>
      <c r="E21" s="7"/>
      <c r="F21" s="7"/>
      <c r="G21" s="7"/>
      <c r="H21" s="7"/>
      <c r="I21" s="7"/>
    </row>
    <row r="22" spans="1:9">
      <c r="A22" s="2" t="s">
        <v>57</v>
      </c>
      <c r="B22" s="23">
        <v>50</v>
      </c>
      <c r="C22" s="23">
        <v>23</v>
      </c>
      <c r="D22" s="23">
        <f>B22*$C$28+C22*$C$29</f>
        <v>4.12</v>
      </c>
      <c r="E22" s="7"/>
      <c r="F22" s="7"/>
      <c r="G22" s="7"/>
      <c r="H22" s="7"/>
      <c r="I22" s="7"/>
    </row>
    <row r="23" spans="1:9">
      <c r="A23" s="2" t="s">
        <v>58</v>
      </c>
      <c r="B23" s="23">
        <v>72</v>
      </c>
      <c r="C23" s="23">
        <v>14</v>
      </c>
      <c r="D23" s="23">
        <f t="shared" ref="D23:D27" si="4">B23*$C$28+C23*$C$29</f>
        <v>7.08</v>
      </c>
      <c r="E23" s="7"/>
      <c r="F23" s="7"/>
      <c r="G23" s="7"/>
      <c r="H23" s="7"/>
      <c r="I23" s="7"/>
    </row>
    <row r="24" spans="1:9">
      <c r="A24" s="2" t="s">
        <v>59</v>
      </c>
      <c r="B24" s="23">
        <v>85</v>
      </c>
      <c r="C24" s="23">
        <v>29</v>
      </c>
      <c r="D24" s="23">
        <f t="shared" si="4"/>
        <v>7.6099999999999994</v>
      </c>
      <c r="E24" s="7"/>
      <c r="F24" s="7"/>
      <c r="G24" s="7"/>
      <c r="H24" s="7"/>
      <c r="I24" s="7"/>
    </row>
    <row r="25" spans="1:9">
      <c r="A25" s="2" t="s">
        <v>60</v>
      </c>
      <c r="B25" s="23">
        <v>15</v>
      </c>
      <c r="C25" s="23">
        <v>2</v>
      </c>
      <c r="D25" s="23">
        <f t="shared" si="4"/>
        <v>1.5299999999999998</v>
      </c>
      <c r="E25" s="7"/>
      <c r="F25" s="7"/>
      <c r="G25" s="7"/>
      <c r="H25" s="7"/>
      <c r="I25" s="7"/>
    </row>
    <row r="26" spans="1:9">
      <c r="A26" s="2" t="s">
        <v>61</v>
      </c>
      <c r="B26" s="23">
        <v>78</v>
      </c>
      <c r="C26" s="23">
        <v>7</v>
      </c>
      <c r="D26" s="23">
        <f t="shared" si="4"/>
        <v>8.16</v>
      </c>
      <c r="E26" s="7"/>
      <c r="F26" s="7"/>
      <c r="G26" s="7"/>
      <c r="H26" s="7"/>
      <c r="I26" s="7"/>
    </row>
    <row r="27" spans="1:9">
      <c r="A27" s="2" t="s">
        <v>62</v>
      </c>
      <c r="B27" s="23">
        <v>56</v>
      </c>
      <c r="C27" s="23">
        <v>5</v>
      </c>
      <c r="D27" s="23">
        <f t="shared" si="4"/>
        <v>5.86</v>
      </c>
      <c r="E27" s="7"/>
      <c r="F27" s="7"/>
      <c r="G27" s="7"/>
      <c r="H27" s="7"/>
      <c r="I27" s="7"/>
    </row>
    <row r="28" spans="1:9">
      <c r="A28" s="114" t="s">
        <v>63</v>
      </c>
      <c r="B28" s="115"/>
      <c r="C28" s="24">
        <v>0.11</v>
      </c>
      <c r="D28" s="25"/>
      <c r="E28" s="7"/>
      <c r="F28" s="7"/>
      <c r="G28" s="7"/>
      <c r="H28" s="7"/>
      <c r="I28" s="7"/>
    </row>
    <row r="29" spans="1:9">
      <c r="A29" s="114" t="s">
        <v>64</v>
      </c>
      <c r="B29" s="115"/>
      <c r="C29" s="24">
        <v>-0.06</v>
      </c>
      <c r="D29" s="25"/>
      <c r="E29" s="7"/>
      <c r="F29" s="7"/>
      <c r="G29" s="7"/>
      <c r="H29" s="7"/>
      <c r="I29" s="7"/>
    </row>
  </sheetData>
  <mergeCells count="3">
    <mergeCell ref="A18:B18"/>
    <mergeCell ref="A28:B28"/>
    <mergeCell ref="A29:B29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/>
  </sheetViews>
  <sheetFormatPr defaultRowHeight="17"/>
  <cols>
    <col min="6" max="6" width="1.58203125" customWidth="1"/>
    <col min="8" max="8" width="1.58203125" customWidth="1"/>
    <col min="12" max="12" width="11.83203125" bestFit="1" customWidth="1"/>
    <col min="13" max="14" width="11.83203125" customWidth="1"/>
  </cols>
  <sheetData>
    <row r="1" spans="1:14">
      <c r="A1" s="26" t="s">
        <v>65</v>
      </c>
      <c r="B1" s="27" t="s">
        <v>66</v>
      </c>
      <c r="C1" s="26"/>
      <c r="D1" s="26"/>
      <c r="E1" s="26"/>
      <c r="F1" s="26"/>
      <c r="G1" s="26"/>
      <c r="H1" s="26"/>
      <c r="I1" s="26" t="s">
        <v>67</v>
      </c>
      <c r="J1" s="27" t="s">
        <v>68</v>
      </c>
      <c r="K1" s="26"/>
      <c r="L1" s="26"/>
      <c r="M1" s="26"/>
      <c r="N1" s="26"/>
    </row>
    <row r="2" spans="1:14">
      <c r="A2" s="86" t="s">
        <v>69</v>
      </c>
      <c r="B2" s="86" t="s">
        <v>70</v>
      </c>
      <c r="C2" s="86" t="s">
        <v>71</v>
      </c>
      <c r="D2" s="86" t="s">
        <v>72</v>
      </c>
      <c r="E2" s="86" t="s">
        <v>73</v>
      </c>
      <c r="F2" s="26"/>
      <c r="G2" s="26"/>
      <c r="H2" s="26"/>
      <c r="I2" s="86" t="s">
        <v>74</v>
      </c>
      <c r="J2" s="86" t="s">
        <v>75</v>
      </c>
      <c r="K2" s="86" t="s">
        <v>76</v>
      </c>
      <c r="L2" s="86" t="s">
        <v>77</v>
      </c>
      <c r="M2" s="26"/>
      <c r="N2" s="26"/>
    </row>
    <row r="3" spans="1:14">
      <c r="A3" s="86" t="s">
        <v>78</v>
      </c>
      <c r="B3" s="86" t="s">
        <v>79</v>
      </c>
      <c r="C3" s="86" t="s">
        <v>80</v>
      </c>
      <c r="D3" s="28">
        <v>28500</v>
      </c>
      <c r="E3" s="28">
        <v>1124</v>
      </c>
      <c r="F3" s="26"/>
      <c r="G3" s="26"/>
      <c r="H3" s="26"/>
      <c r="I3" s="86" t="s">
        <v>81</v>
      </c>
      <c r="J3" s="86" t="s">
        <v>82</v>
      </c>
      <c r="K3" s="28">
        <v>585</v>
      </c>
      <c r="L3" s="88">
        <f t="shared" ref="L3:L10" si="0">K3*12000</f>
        <v>7020000</v>
      </c>
      <c r="M3" s="26"/>
      <c r="N3" s="26"/>
    </row>
    <row r="4" spans="1:14">
      <c r="A4" s="86" t="s">
        <v>83</v>
      </c>
      <c r="B4" s="86" t="s">
        <v>84</v>
      </c>
      <c r="C4" s="86" t="s">
        <v>85</v>
      </c>
      <c r="D4" s="28">
        <v>39000</v>
      </c>
      <c r="E4" s="28">
        <v>1351</v>
      </c>
      <c r="F4" s="26"/>
      <c r="G4" s="26"/>
      <c r="H4" s="26"/>
      <c r="I4" s="86" t="s">
        <v>81</v>
      </c>
      <c r="J4" s="86" t="s">
        <v>87</v>
      </c>
      <c r="K4" s="28">
        <v>594</v>
      </c>
      <c r="L4" s="88">
        <f t="shared" si="0"/>
        <v>7128000</v>
      </c>
      <c r="M4" s="26"/>
      <c r="N4" s="26"/>
    </row>
    <row r="5" spans="1:14">
      <c r="A5" s="86" t="s">
        <v>78</v>
      </c>
      <c r="B5" s="86" t="s">
        <v>88</v>
      </c>
      <c r="C5" s="86" t="s">
        <v>89</v>
      </c>
      <c r="D5" s="28">
        <v>30000</v>
      </c>
      <c r="E5" s="28">
        <v>1122</v>
      </c>
      <c r="F5" s="26"/>
      <c r="G5" s="26"/>
      <c r="H5" s="26"/>
      <c r="I5" s="86" t="s">
        <v>81</v>
      </c>
      <c r="J5" s="86" t="s">
        <v>90</v>
      </c>
      <c r="K5" s="28">
        <v>696</v>
      </c>
      <c r="L5" s="88">
        <f t="shared" si="0"/>
        <v>8352000</v>
      </c>
      <c r="M5" s="26"/>
      <c r="N5" s="26"/>
    </row>
    <row r="6" spans="1:14">
      <c r="A6" s="86" t="s">
        <v>91</v>
      </c>
      <c r="B6" s="86" t="s">
        <v>92</v>
      </c>
      <c r="C6" s="86" t="s">
        <v>93</v>
      </c>
      <c r="D6" s="28">
        <v>40000</v>
      </c>
      <c r="E6" s="28">
        <v>1452</v>
      </c>
      <c r="F6" s="26"/>
      <c r="G6" s="26"/>
      <c r="H6" s="26"/>
      <c r="I6" s="86" t="s">
        <v>81</v>
      </c>
      <c r="J6" s="86" t="s">
        <v>94</v>
      </c>
      <c r="K6" s="28">
        <v>857</v>
      </c>
      <c r="L6" s="88">
        <f t="shared" si="0"/>
        <v>10284000</v>
      </c>
      <c r="M6" s="26"/>
      <c r="N6" s="26"/>
    </row>
    <row r="7" spans="1:14">
      <c r="A7" s="86" t="s">
        <v>83</v>
      </c>
      <c r="B7" s="86" t="s">
        <v>95</v>
      </c>
      <c r="C7" s="86" t="s">
        <v>96</v>
      </c>
      <c r="D7" s="28">
        <v>45500</v>
      </c>
      <c r="E7" s="28">
        <v>1753</v>
      </c>
      <c r="F7" s="26"/>
      <c r="G7" s="26"/>
      <c r="H7" s="26"/>
      <c r="I7" s="86" t="s">
        <v>97</v>
      </c>
      <c r="J7" s="86" t="s">
        <v>98</v>
      </c>
      <c r="K7" s="28">
        <v>584</v>
      </c>
      <c r="L7" s="88">
        <f t="shared" si="0"/>
        <v>7008000</v>
      </c>
      <c r="M7" s="26"/>
      <c r="N7" s="26"/>
    </row>
    <row r="8" spans="1:14">
      <c r="A8" s="86" t="s">
        <v>78</v>
      </c>
      <c r="B8" s="86" t="s">
        <v>99</v>
      </c>
      <c r="C8" s="86" t="s">
        <v>100</v>
      </c>
      <c r="D8" s="28">
        <v>24500</v>
      </c>
      <c r="E8" s="28">
        <v>1654</v>
      </c>
      <c r="F8" s="26"/>
      <c r="G8" s="86" t="s">
        <v>101</v>
      </c>
      <c r="H8" s="26"/>
      <c r="I8" s="86" t="s">
        <v>97</v>
      </c>
      <c r="J8" s="86" t="s">
        <v>102</v>
      </c>
      <c r="K8" s="28">
        <v>429</v>
      </c>
      <c r="L8" s="88">
        <f t="shared" si="0"/>
        <v>5148000</v>
      </c>
      <c r="M8" s="26"/>
      <c r="N8" s="26"/>
    </row>
    <row r="9" spans="1:14">
      <c r="A9" s="86" t="s">
        <v>91</v>
      </c>
      <c r="B9" s="86" t="s">
        <v>103</v>
      </c>
      <c r="C9" s="86" t="s">
        <v>104</v>
      </c>
      <c r="D9" s="28">
        <v>35800</v>
      </c>
      <c r="E9" s="28">
        <v>1324</v>
      </c>
      <c r="F9" s="26"/>
      <c r="G9" s="86"/>
      <c r="H9" s="26"/>
      <c r="I9" s="86" t="s">
        <v>97</v>
      </c>
      <c r="J9" s="86" t="s">
        <v>105</v>
      </c>
      <c r="K9" s="28">
        <v>826</v>
      </c>
      <c r="L9" s="88">
        <f t="shared" si="0"/>
        <v>9912000</v>
      </c>
      <c r="M9" s="86"/>
      <c r="N9" s="86"/>
    </row>
    <row r="10" spans="1:14">
      <c r="A10" s="86" t="s">
        <v>83</v>
      </c>
      <c r="B10" s="86" t="s">
        <v>107</v>
      </c>
      <c r="C10" s="86" t="s">
        <v>108</v>
      </c>
      <c r="D10" s="28">
        <v>50000</v>
      </c>
      <c r="E10" s="28">
        <v>1647</v>
      </c>
      <c r="F10" s="26"/>
      <c r="G10" s="86"/>
      <c r="H10" s="26"/>
      <c r="I10" s="86" t="s">
        <v>97</v>
      </c>
      <c r="J10" s="86" t="s">
        <v>109</v>
      </c>
      <c r="K10" s="28">
        <v>701</v>
      </c>
      <c r="L10" s="88">
        <f t="shared" si="0"/>
        <v>8412000</v>
      </c>
      <c r="M10" s="86"/>
      <c r="N10" s="86"/>
    </row>
    <row r="11" spans="1:14">
      <c r="A11" s="119" t="s">
        <v>110</v>
      </c>
      <c r="B11" s="120"/>
      <c r="C11" s="120"/>
      <c r="D11" s="121"/>
      <c r="E11" s="30"/>
      <c r="F11" s="26"/>
      <c r="G11" s="26"/>
      <c r="H11" s="26"/>
      <c r="I11" s="122" t="s">
        <v>111</v>
      </c>
      <c r="J11" s="122"/>
      <c r="K11" s="122"/>
      <c r="L11" s="28"/>
      <c r="M11" s="26"/>
      <c r="N11" s="26"/>
    </row>
    <row r="12" spans="1:14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1:14">
      <c r="A13" s="26" t="s">
        <v>112</v>
      </c>
      <c r="B13" s="27" t="s">
        <v>113</v>
      </c>
      <c r="C13" s="26"/>
      <c r="D13" s="26"/>
      <c r="E13" s="26"/>
      <c r="F13" s="26"/>
      <c r="G13" s="26"/>
      <c r="H13" s="26"/>
      <c r="I13" s="26" t="s">
        <v>114</v>
      </c>
      <c r="J13" s="27" t="s">
        <v>115</v>
      </c>
      <c r="K13" s="26"/>
      <c r="L13" s="26"/>
      <c r="M13" s="26"/>
      <c r="N13" s="26"/>
    </row>
    <row r="14" spans="1:14">
      <c r="A14" s="86" t="s">
        <v>75</v>
      </c>
      <c r="B14" s="86" t="s">
        <v>116</v>
      </c>
      <c r="C14" s="86" t="s">
        <v>117</v>
      </c>
      <c r="D14" s="86" t="s">
        <v>118</v>
      </c>
      <c r="E14" s="86" t="s">
        <v>119</v>
      </c>
      <c r="F14" s="26"/>
      <c r="G14" s="26"/>
      <c r="H14" s="26"/>
      <c r="I14" s="86" t="s">
        <v>120</v>
      </c>
      <c r="J14" s="86" t="s">
        <v>121</v>
      </c>
      <c r="K14" s="86" t="s">
        <v>122</v>
      </c>
      <c r="L14" s="86" t="s">
        <v>123</v>
      </c>
      <c r="M14" s="26"/>
      <c r="N14" s="26"/>
    </row>
    <row r="15" spans="1:14">
      <c r="A15" s="86" t="s">
        <v>124</v>
      </c>
      <c r="B15" s="86" t="s">
        <v>125</v>
      </c>
      <c r="C15" s="86" t="s">
        <v>126</v>
      </c>
      <c r="D15" s="86"/>
      <c r="E15" s="86" t="s">
        <v>126</v>
      </c>
      <c r="F15" s="26"/>
      <c r="G15" s="26"/>
      <c r="H15" s="26"/>
      <c r="I15" s="86" t="s">
        <v>128</v>
      </c>
      <c r="J15" s="86" t="s">
        <v>129</v>
      </c>
      <c r="K15" s="86" t="s">
        <v>130</v>
      </c>
      <c r="L15" s="88">
        <v>945000</v>
      </c>
      <c r="M15" s="26"/>
      <c r="N15" s="26"/>
    </row>
    <row r="16" spans="1:14">
      <c r="A16" s="86" t="s">
        <v>131</v>
      </c>
      <c r="B16" s="86" t="s">
        <v>132</v>
      </c>
      <c r="C16" s="86" t="s">
        <v>126</v>
      </c>
      <c r="D16" s="86" t="s">
        <v>126</v>
      </c>
      <c r="E16" s="86"/>
      <c r="F16" s="26"/>
      <c r="G16" s="26"/>
      <c r="H16" s="26"/>
      <c r="I16" s="86" t="s">
        <v>133</v>
      </c>
      <c r="J16" s="86" t="s">
        <v>134</v>
      </c>
      <c r="K16" s="86" t="s">
        <v>135</v>
      </c>
      <c r="L16" s="88">
        <v>895000</v>
      </c>
      <c r="M16" s="26"/>
      <c r="N16" s="26"/>
    </row>
    <row r="17" spans="1:14">
      <c r="A17" s="86" t="s">
        <v>136</v>
      </c>
      <c r="B17" s="86" t="s">
        <v>137</v>
      </c>
      <c r="C17" s="86"/>
      <c r="D17" s="86" t="s">
        <v>126</v>
      </c>
      <c r="E17" s="86" t="s">
        <v>126</v>
      </c>
      <c r="F17" s="26"/>
      <c r="G17" s="26"/>
      <c r="H17" s="26"/>
      <c r="I17" s="86" t="s">
        <v>139</v>
      </c>
      <c r="J17" s="86" t="s">
        <v>140</v>
      </c>
      <c r="K17" s="86" t="s">
        <v>130</v>
      </c>
      <c r="L17" s="88">
        <v>920000</v>
      </c>
      <c r="M17" s="26"/>
      <c r="N17" s="26"/>
    </row>
    <row r="18" spans="1:14">
      <c r="A18" s="86" t="s">
        <v>141</v>
      </c>
      <c r="B18" s="86" t="s">
        <v>137</v>
      </c>
      <c r="C18" s="86" t="s">
        <v>126</v>
      </c>
      <c r="D18" s="86"/>
      <c r="E18" s="86"/>
      <c r="F18" s="26"/>
      <c r="G18" s="26"/>
      <c r="H18" s="26"/>
      <c r="I18" s="86" t="s">
        <v>142</v>
      </c>
      <c r="J18" s="86" t="s">
        <v>134</v>
      </c>
      <c r="K18" s="86" t="s">
        <v>144</v>
      </c>
      <c r="L18" s="88">
        <v>1150000</v>
      </c>
      <c r="M18" s="26"/>
      <c r="N18" s="26"/>
    </row>
    <row r="19" spans="1:14">
      <c r="A19" s="86" t="s">
        <v>145</v>
      </c>
      <c r="B19" s="86" t="s">
        <v>125</v>
      </c>
      <c r="C19" s="86" t="s">
        <v>126</v>
      </c>
      <c r="D19" s="86" t="s">
        <v>126</v>
      </c>
      <c r="E19" s="86" t="s">
        <v>126</v>
      </c>
      <c r="F19" s="26"/>
      <c r="G19" s="26"/>
      <c r="H19" s="26"/>
      <c r="I19" s="86" t="s">
        <v>147</v>
      </c>
      <c r="J19" s="86" t="s">
        <v>129</v>
      </c>
      <c r="K19" s="86" t="s">
        <v>130</v>
      </c>
      <c r="L19" s="88">
        <v>980000</v>
      </c>
      <c r="M19" s="26"/>
      <c r="N19" s="26"/>
    </row>
    <row r="20" spans="1:14">
      <c r="A20" s="86" t="s">
        <v>149</v>
      </c>
      <c r="B20" s="86" t="s">
        <v>132</v>
      </c>
      <c r="C20" s="86"/>
      <c r="D20" s="86" t="s">
        <v>126</v>
      </c>
      <c r="E20" s="86"/>
      <c r="F20" s="26"/>
      <c r="G20" s="26"/>
      <c r="H20" s="26"/>
      <c r="I20" s="86" t="s">
        <v>151</v>
      </c>
      <c r="J20" s="86" t="s">
        <v>134</v>
      </c>
      <c r="K20" s="86" t="s">
        <v>130</v>
      </c>
      <c r="L20" s="88">
        <v>900000</v>
      </c>
      <c r="M20" s="26"/>
      <c r="N20" s="26"/>
    </row>
    <row r="21" spans="1:14">
      <c r="A21" s="86" t="s">
        <v>153</v>
      </c>
      <c r="B21" s="86" t="s">
        <v>132</v>
      </c>
      <c r="C21" s="86" t="s">
        <v>126</v>
      </c>
      <c r="D21" s="86"/>
      <c r="E21" s="86" t="s">
        <v>126</v>
      </c>
      <c r="F21" s="26"/>
      <c r="G21" s="26"/>
      <c r="H21" s="26"/>
      <c r="I21" s="86" t="s">
        <v>155</v>
      </c>
      <c r="J21" s="86" t="s">
        <v>140</v>
      </c>
      <c r="K21" s="86" t="s">
        <v>135</v>
      </c>
      <c r="L21" s="88">
        <v>885000</v>
      </c>
      <c r="M21" s="26"/>
      <c r="N21" s="26"/>
    </row>
    <row r="22" spans="1:14">
      <c r="A22" s="86" t="s">
        <v>158</v>
      </c>
      <c r="B22" s="86" t="s">
        <v>137</v>
      </c>
      <c r="C22" s="86" t="s">
        <v>126</v>
      </c>
      <c r="D22" s="86"/>
      <c r="E22" s="86"/>
      <c r="F22" s="26"/>
      <c r="G22" s="26"/>
      <c r="H22" s="26"/>
      <c r="I22" s="86" t="s">
        <v>159</v>
      </c>
      <c r="J22" s="86" t="s">
        <v>134</v>
      </c>
      <c r="K22" s="86" t="s">
        <v>130</v>
      </c>
      <c r="L22" s="88">
        <v>985000</v>
      </c>
      <c r="M22" s="26"/>
      <c r="N22" s="26"/>
    </row>
    <row r="23" spans="1:14">
      <c r="A23" s="86" t="s">
        <v>161</v>
      </c>
      <c r="B23" s="86" t="s">
        <v>132</v>
      </c>
      <c r="C23" s="86"/>
      <c r="D23" s="86" t="s">
        <v>126</v>
      </c>
      <c r="E23" s="86" t="s">
        <v>126</v>
      </c>
      <c r="F23" s="26"/>
      <c r="G23" s="26"/>
      <c r="H23" s="26"/>
      <c r="I23" s="86" t="s">
        <v>162</v>
      </c>
      <c r="J23" s="86" t="s">
        <v>129</v>
      </c>
      <c r="K23" s="86" t="s">
        <v>144</v>
      </c>
      <c r="L23" s="88">
        <v>1200000</v>
      </c>
      <c r="M23" s="26"/>
      <c r="N23" s="26"/>
    </row>
    <row r="24" spans="1:14">
      <c r="A24" s="86" t="s">
        <v>164</v>
      </c>
      <c r="B24" s="86" t="s">
        <v>125</v>
      </c>
      <c r="C24" s="86" t="s">
        <v>126</v>
      </c>
      <c r="D24" s="86"/>
      <c r="E24" s="86" t="s">
        <v>126</v>
      </c>
      <c r="F24" s="26"/>
      <c r="G24" s="86"/>
      <c r="H24" s="26"/>
      <c r="I24" s="86" t="s">
        <v>165</v>
      </c>
      <c r="J24" s="86" t="s">
        <v>140</v>
      </c>
      <c r="K24" s="86" t="s">
        <v>144</v>
      </c>
      <c r="L24" s="88">
        <v>1100000</v>
      </c>
      <c r="M24" s="122" t="s">
        <v>166</v>
      </c>
      <c r="N24" s="122"/>
    </row>
    <row r="25" spans="1:14">
      <c r="A25" s="122" t="s">
        <v>167</v>
      </c>
      <c r="B25" s="122"/>
      <c r="C25" s="122"/>
      <c r="D25" s="122"/>
      <c r="E25" s="86"/>
      <c r="F25" s="26"/>
      <c r="G25" s="86"/>
      <c r="H25" s="26"/>
      <c r="I25" s="86" t="s">
        <v>168</v>
      </c>
      <c r="J25" s="86" t="s">
        <v>129</v>
      </c>
      <c r="K25" s="86" t="s">
        <v>135</v>
      </c>
      <c r="L25" s="88">
        <v>900000</v>
      </c>
      <c r="M25" s="123"/>
      <c r="N25" s="123"/>
    </row>
    <row r="26" spans="1:14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>
      <c r="A27" s="26" t="s">
        <v>169</v>
      </c>
      <c r="B27" s="27" t="s">
        <v>170</v>
      </c>
      <c r="C27" s="26"/>
      <c r="D27" s="26"/>
      <c r="E27" s="26"/>
      <c r="F27" s="26"/>
      <c r="G27" s="26"/>
      <c r="H27" s="26"/>
      <c r="I27" s="26" t="s">
        <v>171</v>
      </c>
      <c r="J27" s="27" t="s">
        <v>172</v>
      </c>
      <c r="K27" s="26"/>
      <c r="L27" s="26"/>
      <c r="M27" s="26"/>
      <c r="N27" s="26"/>
    </row>
    <row r="28" spans="1:14">
      <c r="A28" s="86" t="s">
        <v>173</v>
      </c>
      <c r="B28" s="86" t="s">
        <v>174</v>
      </c>
      <c r="C28" s="86" t="s">
        <v>175</v>
      </c>
      <c r="D28" s="86" t="s">
        <v>176</v>
      </c>
      <c r="E28" s="26"/>
      <c r="F28" s="26"/>
      <c r="G28" s="26"/>
      <c r="H28" s="26"/>
      <c r="I28" s="86" t="s">
        <v>177</v>
      </c>
      <c r="J28" s="86" t="s">
        <v>174</v>
      </c>
      <c r="K28" s="86" t="s">
        <v>178</v>
      </c>
      <c r="L28" s="86" t="s">
        <v>179</v>
      </c>
      <c r="M28" s="86" t="s">
        <v>180</v>
      </c>
      <c r="N28" s="86" t="s">
        <v>181</v>
      </c>
    </row>
    <row r="29" spans="1:14">
      <c r="A29" s="5" t="s">
        <v>182</v>
      </c>
      <c r="B29" s="5" t="s">
        <v>183</v>
      </c>
      <c r="C29" s="5" t="s">
        <v>184</v>
      </c>
      <c r="D29" s="86">
        <v>2018</v>
      </c>
      <c r="E29" s="26"/>
      <c r="F29" s="26"/>
      <c r="G29" s="26"/>
      <c r="H29" s="26"/>
      <c r="I29" s="86" t="s">
        <v>185</v>
      </c>
      <c r="J29" s="86" t="s">
        <v>183</v>
      </c>
      <c r="K29" s="86">
        <v>88</v>
      </c>
      <c r="L29" s="86">
        <v>89</v>
      </c>
      <c r="M29" s="86">
        <v>90</v>
      </c>
      <c r="N29" s="86">
        <f t="shared" ref="N29:N37" si="1">SUM(K29:M29)</f>
        <v>267</v>
      </c>
    </row>
    <row r="30" spans="1:14">
      <c r="A30" s="5" t="s">
        <v>187</v>
      </c>
      <c r="B30" s="5" t="s">
        <v>188</v>
      </c>
      <c r="C30" s="5" t="s">
        <v>189</v>
      </c>
      <c r="D30" s="86">
        <v>2015</v>
      </c>
      <c r="E30" s="26"/>
      <c r="F30" s="26"/>
      <c r="G30" s="26"/>
      <c r="H30" s="26"/>
      <c r="I30" s="86" t="s">
        <v>190</v>
      </c>
      <c r="J30" s="86" t="s">
        <v>188</v>
      </c>
      <c r="K30" s="86">
        <v>79</v>
      </c>
      <c r="L30" s="86">
        <v>85</v>
      </c>
      <c r="M30" s="86">
        <v>69</v>
      </c>
      <c r="N30" s="86">
        <f t="shared" si="1"/>
        <v>233</v>
      </c>
    </row>
    <row r="31" spans="1:14">
      <c r="A31" s="5" t="s">
        <v>191</v>
      </c>
      <c r="B31" s="5" t="s">
        <v>183</v>
      </c>
      <c r="C31" s="5" t="s">
        <v>189</v>
      </c>
      <c r="D31" s="86">
        <v>2015</v>
      </c>
      <c r="E31" s="26"/>
      <c r="F31" s="26"/>
      <c r="G31" s="26"/>
      <c r="H31" s="26"/>
      <c r="I31" s="86" t="s">
        <v>192</v>
      </c>
      <c r="J31" s="86" t="s">
        <v>183</v>
      </c>
      <c r="K31" s="86">
        <v>92</v>
      </c>
      <c r="L31" s="86">
        <v>90</v>
      </c>
      <c r="M31" s="86">
        <v>89</v>
      </c>
      <c r="N31" s="86">
        <f t="shared" si="1"/>
        <v>271</v>
      </c>
    </row>
    <row r="32" spans="1:14">
      <c r="A32" s="5" t="s">
        <v>193</v>
      </c>
      <c r="B32" s="5" t="s">
        <v>183</v>
      </c>
      <c r="C32" s="5" t="s">
        <v>194</v>
      </c>
      <c r="D32" s="86">
        <v>2016</v>
      </c>
      <c r="E32" s="26"/>
      <c r="F32" s="26"/>
      <c r="G32" s="26"/>
      <c r="H32" s="26"/>
      <c r="I32" s="86" t="s">
        <v>195</v>
      </c>
      <c r="J32" s="86" t="s">
        <v>188</v>
      </c>
      <c r="K32" s="86">
        <v>94</v>
      </c>
      <c r="L32" s="86">
        <v>95</v>
      </c>
      <c r="M32" s="86">
        <v>89</v>
      </c>
      <c r="N32" s="86">
        <f t="shared" si="1"/>
        <v>278</v>
      </c>
    </row>
    <row r="33" spans="1:14">
      <c r="A33" s="5" t="s">
        <v>197</v>
      </c>
      <c r="B33" s="5" t="s">
        <v>188</v>
      </c>
      <c r="C33" s="5" t="s">
        <v>184</v>
      </c>
      <c r="D33" s="86">
        <v>2015</v>
      </c>
      <c r="E33" s="26"/>
      <c r="F33" s="26"/>
      <c r="G33" s="26"/>
      <c r="H33" s="26"/>
      <c r="I33" s="86" t="s">
        <v>198</v>
      </c>
      <c r="J33" s="86" t="s">
        <v>188</v>
      </c>
      <c r="K33" s="86">
        <v>86</v>
      </c>
      <c r="L33" s="86">
        <v>92</v>
      </c>
      <c r="M33" s="86">
        <v>90</v>
      </c>
      <c r="N33" s="86">
        <f t="shared" si="1"/>
        <v>268</v>
      </c>
    </row>
    <row r="34" spans="1:14">
      <c r="A34" s="5" t="s">
        <v>199</v>
      </c>
      <c r="B34" s="5" t="s">
        <v>188</v>
      </c>
      <c r="C34" s="5" t="s">
        <v>201</v>
      </c>
      <c r="D34" s="86">
        <v>2018</v>
      </c>
      <c r="E34" s="26"/>
      <c r="F34" s="26"/>
      <c r="G34" s="26"/>
      <c r="H34" s="26"/>
      <c r="I34" s="86" t="s">
        <v>202</v>
      </c>
      <c r="J34" s="86" t="s">
        <v>183</v>
      </c>
      <c r="K34" s="86">
        <v>90</v>
      </c>
      <c r="L34" s="86">
        <v>95</v>
      </c>
      <c r="M34" s="86">
        <v>92</v>
      </c>
      <c r="N34" s="86">
        <f t="shared" si="1"/>
        <v>277</v>
      </c>
    </row>
    <row r="35" spans="1:14">
      <c r="A35" s="5" t="s">
        <v>203</v>
      </c>
      <c r="B35" s="5" t="s">
        <v>183</v>
      </c>
      <c r="C35" s="5" t="s">
        <v>204</v>
      </c>
      <c r="D35" s="86">
        <v>2015</v>
      </c>
      <c r="E35" s="26"/>
      <c r="F35" s="26"/>
      <c r="G35" s="26"/>
      <c r="H35" s="26"/>
      <c r="I35" s="86" t="s">
        <v>205</v>
      </c>
      <c r="J35" s="86" t="s">
        <v>183</v>
      </c>
      <c r="K35" s="86">
        <v>88</v>
      </c>
      <c r="L35" s="86">
        <v>84</v>
      </c>
      <c r="M35" s="86">
        <v>80</v>
      </c>
      <c r="N35" s="86">
        <f t="shared" si="1"/>
        <v>252</v>
      </c>
    </row>
    <row r="36" spans="1:14">
      <c r="A36" s="5" t="s">
        <v>206</v>
      </c>
      <c r="B36" s="5" t="s">
        <v>188</v>
      </c>
      <c r="C36" s="5" t="s">
        <v>184</v>
      </c>
      <c r="D36" s="86">
        <v>2018</v>
      </c>
      <c r="E36" s="26"/>
      <c r="F36" s="26"/>
      <c r="G36" s="26"/>
      <c r="H36" s="26"/>
      <c r="I36" s="86" t="s">
        <v>207</v>
      </c>
      <c r="J36" s="86" t="s">
        <v>188</v>
      </c>
      <c r="K36" s="86">
        <v>77</v>
      </c>
      <c r="L36" s="86">
        <v>80</v>
      </c>
      <c r="M36" s="86">
        <v>79</v>
      </c>
      <c r="N36" s="86">
        <f t="shared" si="1"/>
        <v>236</v>
      </c>
    </row>
    <row r="37" spans="1:14">
      <c r="A37" s="5" t="s">
        <v>208</v>
      </c>
      <c r="B37" s="5" t="s">
        <v>188</v>
      </c>
      <c r="C37" s="5" t="s">
        <v>201</v>
      </c>
      <c r="D37" s="86">
        <v>2017</v>
      </c>
      <c r="E37" s="26"/>
      <c r="F37" s="26"/>
      <c r="G37" s="26"/>
      <c r="H37" s="26"/>
      <c r="I37" s="86" t="s">
        <v>209</v>
      </c>
      <c r="J37" s="86" t="s">
        <v>188</v>
      </c>
      <c r="K37" s="86">
        <v>80</v>
      </c>
      <c r="L37" s="86">
        <v>85</v>
      </c>
      <c r="M37" s="86">
        <v>90</v>
      </c>
      <c r="N37" s="86">
        <f t="shared" si="1"/>
        <v>255</v>
      </c>
    </row>
    <row r="38" spans="1:14">
      <c r="A38" s="5" t="s">
        <v>210</v>
      </c>
      <c r="B38" s="5" t="s">
        <v>183</v>
      </c>
      <c r="C38" s="5" t="s">
        <v>189</v>
      </c>
      <c r="D38" s="86">
        <v>2018</v>
      </c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spans="1:14">
      <c r="A39" s="119" t="s">
        <v>212</v>
      </c>
      <c r="B39" s="120"/>
      <c r="C39" s="121"/>
      <c r="D39" s="86"/>
      <c r="E39" s="26"/>
      <c r="F39" s="26"/>
      <c r="G39" s="26"/>
      <c r="H39" s="26"/>
      <c r="I39" s="26"/>
      <c r="J39" s="26"/>
      <c r="K39" s="26"/>
      <c r="L39" s="119" t="s">
        <v>213</v>
      </c>
      <c r="M39" s="120"/>
      <c r="N39" s="121"/>
    </row>
    <row r="40" spans="1:14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116"/>
      <c r="M40" s="117"/>
      <c r="N40" s="118"/>
    </row>
  </sheetData>
  <mergeCells count="8">
    <mergeCell ref="L40:N40"/>
    <mergeCell ref="A11:D11"/>
    <mergeCell ref="I11:K11"/>
    <mergeCell ref="M24:N24"/>
    <mergeCell ref="A25:D25"/>
    <mergeCell ref="M25:N25"/>
    <mergeCell ref="A39:C39"/>
    <mergeCell ref="L39:N39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/>
  </sheetViews>
  <sheetFormatPr defaultRowHeight="17"/>
  <cols>
    <col min="6" max="6" width="1.58203125" customWidth="1"/>
    <col min="8" max="8" width="1.58203125" customWidth="1"/>
    <col min="12" max="12" width="11.83203125" bestFit="1" customWidth="1"/>
    <col min="13" max="14" width="11.83203125" customWidth="1"/>
  </cols>
  <sheetData>
    <row r="1" spans="1:14">
      <c r="A1" s="26" t="s">
        <v>65</v>
      </c>
      <c r="B1" s="27" t="s">
        <v>66</v>
      </c>
      <c r="C1" s="26"/>
      <c r="D1" s="26"/>
      <c r="E1" s="26"/>
      <c r="F1" s="26"/>
      <c r="G1" s="26"/>
      <c r="H1" s="26"/>
      <c r="I1" s="26" t="s">
        <v>67</v>
      </c>
      <c r="J1" s="27" t="s">
        <v>68</v>
      </c>
      <c r="K1" s="26"/>
      <c r="L1" s="26"/>
      <c r="M1" s="26"/>
      <c r="N1" s="26"/>
    </row>
    <row r="2" spans="1:14">
      <c r="A2" s="2" t="s">
        <v>69</v>
      </c>
      <c r="B2" s="2" t="s">
        <v>70</v>
      </c>
      <c r="C2" s="2" t="s">
        <v>71</v>
      </c>
      <c r="D2" s="2" t="s">
        <v>72</v>
      </c>
      <c r="E2" s="2" t="s">
        <v>73</v>
      </c>
      <c r="F2" s="26"/>
      <c r="G2" s="26"/>
      <c r="H2" s="26"/>
      <c r="I2" s="2" t="s">
        <v>74</v>
      </c>
      <c r="J2" s="2" t="s">
        <v>75</v>
      </c>
      <c r="K2" s="2" t="s">
        <v>76</v>
      </c>
      <c r="L2" s="2" t="s">
        <v>77</v>
      </c>
      <c r="M2" s="26"/>
      <c r="N2" s="26"/>
    </row>
    <row r="3" spans="1:14">
      <c r="A3" s="2" t="s">
        <v>78</v>
      </c>
      <c r="B3" s="2" t="s">
        <v>79</v>
      </c>
      <c r="C3" s="2" t="s">
        <v>80</v>
      </c>
      <c r="D3" s="28">
        <v>28500</v>
      </c>
      <c r="E3" s="28">
        <v>1124</v>
      </c>
      <c r="F3" s="26"/>
      <c r="G3" s="26"/>
      <c r="H3" s="26"/>
      <c r="I3" s="2" t="s">
        <v>81</v>
      </c>
      <c r="J3" s="2" t="s">
        <v>82</v>
      </c>
      <c r="K3" s="28">
        <v>585</v>
      </c>
      <c r="L3" s="29">
        <f t="shared" ref="L3:L10" si="0">K3*12000</f>
        <v>7020000</v>
      </c>
      <c r="M3" s="26"/>
      <c r="N3" s="26"/>
    </row>
    <row r="4" spans="1:14">
      <c r="A4" s="2" t="s">
        <v>83</v>
      </c>
      <c r="B4" s="2" t="s">
        <v>84</v>
      </c>
      <c r="C4" s="2" t="s">
        <v>85</v>
      </c>
      <c r="D4" s="28">
        <v>39000</v>
      </c>
      <c r="E4" s="28">
        <v>1351</v>
      </c>
      <c r="F4" s="26"/>
      <c r="G4" s="26"/>
      <c r="H4" s="26"/>
      <c r="I4" s="2" t="s">
        <v>86</v>
      </c>
      <c r="J4" s="2" t="s">
        <v>87</v>
      </c>
      <c r="K4" s="28">
        <v>594</v>
      </c>
      <c r="L4" s="29">
        <f t="shared" si="0"/>
        <v>7128000</v>
      </c>
      <c r="M4" s="26"/>
      <c r="N4" s="26"/>
    </row>
    <row r="5" spans="1:14">
      <c r="A5" s="2" t="s">
        <v>78</v>
      </c>
      <c r="B5" s="2" t="s">
        <v>88</v>
      </c>
      <c r="C5" s="2" t="s">
        <v>89</v>
      </c>
      <c r="D5" s="28">
        <v>30000</v>
      </c>
      <c r="E5" s="28">
        <v>1122</v>
      </c>
      <c r="F5" s="26"/>
      <c r="G5" s="26"/>
      <c r="H5" s="26"/>
      <c r="I5" s="2" t="s">
        <v>81</v>
      </c>
      <c r="J5" s="2" t="s">
        <v>90</v>
      </c>
      <c r="K5" s="28">
        <v>696</v>
      </c>
      <c r="L5" s="29">
        <f t="shared" si="0"/>
        <v>8352000</v>
      </c>
      <c r="M5" s="26"/>
      <c r="N5" s="26"/>
    </row>
    <row r="6" spans="1:14">
      <c r="A6" s="2" t="s">
        <v>91</v>
      </c>
      <c r="B6" s="2" t="s">
        <v>92</v>
      </c>
      <c r="C6" s="2" t="s">
        <v>93</v>
      </c>
      <c r="D6" s="28">
        <v>40000</v>
      </c>
      <c r="E6" s="28">
        <v>1452</v>
      </c>
      <c r="F6" s="26"/>
      <c r="G6" s="26"/>
      <c r="H6" s="26"/>
      <c r="I6" s="2" t="s">
        <v>81</v>
      </c>
      <c r="J6" s="2" t="s">
        <v>94</v>
      </c>
      <c r="K6" s="28">
        <v>857</v>
      </c>
      <c r="L6" s="29">
        <f t="shared" si="0"/>
        <v>10284000</v>
      </c>
      <c r="M6" s="26"/>
      <c r="N6" s="26"/>
    </row>
    <row r="7" spans="1:14">
      <c r="A7" s="2" t="s">
        <v>83</v>
      </c>
      <c r="B7" s="2" t="s">
        <v>95</v>
      </c>
      <c r="C7" s="2" t="s">
        <v>96</v>
      </c>
      <c r="D7" s="28">
        <v>45500</v>
      </c>
      <c r="E7" s="28">
        <v>1753</v>
      </c>
      <c r="F7" s="26"/>
      <c r="G7" s="26"/>
      <c r="H7" s="26"/>
      <c r="I7" s="2" t="s">
        <v>97</v>
      </c>
      <c r="J7" s="2" t="s">
        <v>98</v>
      </c>
      <c r="K7" s="28">
        <v>584</v>
      </c>
      <c r="L7" s="29">
        <f t="shared" si="0"/>
        <v>7008000</v>
      </c>
      <c r="M7" s="26"/>
      <c r="N7" s="26"/>
    </row>
    <row r="8" spans="1:14">
      <c r="A8" s="2" t="s">
        <v>78</v>
      </c>
      <c r="B8" s="2" t="s">
        <v>99</v>
      </c>
      <c r="C8" s="2" t="s">
        <v>100</v>
      </c>
      <c r="D8" s="28">
        <v>24500</v>
      </c>
      <c r="E8" s="28">
        <v>1654</v>
      </c>
      <c r="F8" s="26"/>
      <c r="G8" s="2" t="s">
        <v>101</v>
      </c>
      <c r="H8" s="26"/>
      <c r="I8" s="2" t="s">
        <v>97</v>
      </c>
      <c r="J8" s="2" t="s">
        <v>102</v>
      </c>
      <c r="K8" s="28">
        <v>429</v>
      </c>
      <c r="L8" s="29">
        <f t="shared" si="0"/>
        <v>5148000</v>
      </c>
      <c r="M8" s="26"/>
      <c r="N8" s="26"/>
    </row>
    <row r="9" spans="1:14">
      <c r="A9" s="2" t="s">
        <v>91</v>
      </c>
      <c r="B9" s="2" t="s">
        <v>103</v>
      </c>
      <c r="C9" s="2" t="s">
        <v>104</v>
      </c>
      <c r="D9" s="28">
        <v>35800</v>
      </c>
      <c r="E9" s="28">
        <v>1324</v>
      </c>
      <c r="F9" s="26"/>
      <c r="G9" s="86" t="s">
        <v>69</v>
      </c>
      <c r="H9" s="26"/>
      <c r="I9" s="2" t="s">
        <v>97</v>
      </c>
      <c r="J9" s="2" t="s">
        <v>105</v>
      </c>
      <c r="K9" s="28">
        <v>826</v>
      </c>
      <c r="L9" s="29">
        <f t="shared" si="0"/>
        <v>9912000</v>
      </c>
      <c r="M9" s="86" t="s">
        <v>74</v>
      </c>
      <c r="N9" s="86" t="s">
        <v>76</v>
      </c>
    </row>
    <row r="10" spans="1:14">
      <c r="A10" s="2" t="s">
        <v>106</v>
      </c>
      <c r="B10" s="2" t="s">
        <v>107</v>
      </c>
      <c r="C10" s="2" t="s">
        <v>108</v>
      </c>
      <c r="D10" s="28">
        <v>50000</v>
      </c>
      <c r="E10" s="28">
        <v>1647</v>
      </c>
      <c r="F10" s="26"/>
      <c r="G10" s="86" t="s">
        <v>83</v>
      </c>
      <c r="H10" s="26"/>
      <c r="I10" s="2" t="s">
        <v>97</v>
      </c>
      <c r="J10" s="2" t="s">
        <v>109</v>
      </c>
      <c r="K10" s="28">
        <v>701</v>
      </c>
      <c r="L10" s="29">
        <f t="shared" si="0"/>
        <v>8412000</v>
      </c>
      <c r="M10" s="86" t="s">
        <v>97</v>
      </c>
      <c r="N10" s="2" t="s">
        <v>1128</v>
      </c>
    </row>
    <row r="11" spans="1:14">
      <c r="A11" s="119" t="s">
        <v>110</v>
      </c>
      <c r="B11" s="120"/>
      <c r="C11" s="120"/>
      <c r="D11" s="121"/>
      <c r="E11" s="30" t="str">
        <f>DSUM(A2:E10,E2,G9:G10)&amp;"매"</f>
        <v>4751매</v>
      </c>
      <c r="F11" s="26"/>
      <c r="G11" s="26"/>
      <c r="H11" s="26"/>
      <c r="I11" s="122" t="s">
        <v>111</v>
      </c>
      <c r="J11" s="122"/>
      <c r="K11" s="122"/>
      <c r="L11" s="28">
        <f>DAVERAGE(I2:L10,L2,M9:N10)</f>
        <v>9162000</v>
      </c>
      <c r="M11" s="26"/>
      <c r="N11" s="26"/>
    </row>
    <row r="12" spans="1:14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1:14">
      <c r="A13" s="26" t="s">
        <v>112</v>
      </c>
      <c r="B13" s="27" t="s">
        <v>113</v>
      </c>
      <c r="C13" s="26"/>
      <c r="D13" s="26"/>
      <c r="E13" s="26"/>
      <c r="F13" s="26"/>
      <c r="G13" s="26"/>
      <c r="H13" s="26"/>
      <c r="I13" s="26" t="s">
        <v>114</v>
      </c>
      <c r="J13" s="27" t="s">
        <v>115</v>
      </c>
      <c r="K13" s="26"/>
      <c r="L13" s="26"/>
      <c r="M13" s="26"/>
      <c r="N13" s="26"/>
    </row>
    <row r="14" spans="1:14">
      <c r="A14" s="2" t="s">
        <v>75</v>
      </c>
      <c r="B14" s="2" t="s">
        <v>116</v>
      </c>
      <c r="C14" s="2" t="s">
        <v>117</v>
      </c>
      <c r="D14" s="2" t="s">
        <v>118</v>
      </c>
      <c r="E14" s="2" t="s">
        <v>119</v>
      </c>
      <c r="F14" s="26"/>
      <c r="G14" s="26"/>
      <c r="H14" s="26"/>
      <c r="I14" s="2" t="s">
        <v>120</v>
      </c>
      <c r="J14" s="2" t="s">
        <v>121</v>
      </c>
      <c r="K14" s="2" t="s">
        <v>122</v>
      </c>
      <c r="L14" s="2" t="s">
        <v>123</v>
      </c>
      <c r="M14" s="26"/>
      <c r="N14" s="26"/>
    </row>
    <row r="15" spans="1:14">
      <c r="A15" s="2" t="s">
        <v>124</v>
      </c>
      <c r="B15" s="2" t="s">
        <v>125</v>
      </c>
      <c r="C15" s="2" t="s">
        <v>126</v>
      </c>
      <c r="D15" s="2"/>
      <c r="E15" s="2" t="s">
        <v>127</v>
      </c>
      <c r="F15" s="26"/>
      <c r="G15" s="26"/>
      <c r="H15" s="26"/>
      <c r="I15" s="2" t="s">
        <v>128</v>
      </c>
      <c r="J15" s="2" t="s">
        <v>129</v>
      </c>
      <c r="K15" s="2" t="s">
        <v>130</v>
      </c>
      <c r="L15" s="29">
        <v>945000</v>
      </c>
      <c r="M15" s="26"/>
      <c r="N15" s="26"/>
    </row>
    <row r="16" spans="1:14">
      <c r="A16" s="2" t="s">
        <v>131</v>
      </c>
      <c r="B16" s="2" t="s">
        <v>132</v>
      </c>
      <c r="C16" s="2" t="s">
        <v>127</v>
      </c>
      <c r="D16" s="2" t="s">
        <v>127</v>
      </c>
      <c r="E16" s="2"/>
      <c r="F16" s="26"/>
      <c r="G16" s="26"/>
      <c r="H16" s="26"/>
      <c r="I16" s="2" t="s">
        <v>133</v>
      </c>
      <c r="J16" s="2" t="s">
        <v>134</v>
      </c>
      <c r="K16" s="2" t="s">
        <v>135</v>
      </c>
      <c r="L16" s="29">
        <v>895000</v>
      </c>
      <c r="M16" s="26"/>
      <c r="N16" s="26"/>
    </row>
    <row r="17" spans="1:14">
      <c r="A17" s="2" t="s">
        <v>136</v>
      </c>
      <c r="B17" s="2" t="s">
        <v>137</v>
      </c>
      <c r="C17" s="2"/>
      <c r="D17" s="2" t="s">
        <v>127</v>
      </c>
      <c r="E17" s="2" t="s">
        <v>138</v>
      </c>
      <c r="F17" s="26"/>
      <c r="G17" s="26"/>
      <c r="H17" s="26"/>
      <c r="I17" s="2" t="s">
        <v>139</v>
      </c>
      <c r="J17" s="2" t="s">
        <v>140</v>
      </c>
      <c r="K17" s="2" t="s">
        <v>130</v>
      </c>
      <c r="L17" s="29">
        <v>920000</v>
      </c>
      <c r="M17" s="26"/>
      <c r="N17" s="26"/>
    </row>
    <row r="18" spans="1:14">
      <c r="A18" s="2" t="s">
        <v>141</v>
      </c>
      <c r="B18" s="2" t="s">
        <v>137</v>
      </c>
      <c r="C18" s="2" t="s">
        <v>138</v>
      </c>
      <c r="D18" s="2"/>
      <c r="E18" s="2"/>
      <c r="F18" s="26"/>
      <c r="G18" s="26"/>
      <c r="H18" s="26"/>
      <c r="I18" s="2" t="s">
        <v>142</v>
      </c>
      <c r="J18" s="2" t="s">
        <v>143</v>
      </c>
      <c r="K18" s="2" t="s">
        <v>144</v>
      </c>
      <c r="L18" s="29">
        <v>1150000</v>
      </c>
      <c r="M18" s="26"/>
      <c r="N18" s="26"/>
    </row>
    <row r="19" spans="1:14">
      <c r="A19" s="2" t="s">
        <v>145</v>
      </c>
      <c r="B19" s="2" t="s">
        <v>146</v>
      </c>
      <c r="C19" s="2" t="s">
        <v>138</v>
      </c>
      <c r="D19" s="2" t="s">
        <v>127</v>
      </c>
      <c r="E19" s="2" t="s">
        <v>127</v>
      </c>
      <c r="F19" s="26"/>
      <c r="G19" s="26"/>
      <c r="H19" s="26"/>
      <c r="I19" s="2" t="s">
        <v>147</v>
      </c>
      <c r="J19" s="2" t="s">
        <v>148</v>
      </c>
      <c r="K19" s="2" t="s">
        <v>130</v>
      </c>
      <c r="L19" s="29">
        <v>980000</v>
      </c>
      <c r="M19" s="26"/>
      <c r="N19" s="26"/>
    </row>
    <row r="20" spans="1:14">
      <c r="A20" s="2" t="s">
        <v>149</v>
      </c>
      <c r="B20" s="2" t="s">
        <v>150</v>
      </c>
      <c r="C20" s="2"/>
      <c r="D20" s="2" t="s">
        <v>138</v>
      </c>
      <c r="E20" s="2"/>
      <c r="F20" s="26"/>
      <c r="G20" s="26"/>
      <c r="H20" s="26"/>
      <c r="I20" s="2" t="s">
        <v>151</v>
      </c>
      <c r="J20" s="2" t="s">
        <v>134</v>
      </c>
      <c r="K20" s="2" t="s">
        <v>152</v>
      </c>
      <c r="L20" s="29">
        <v>900000</v>
      </c>
      <c r="M20" s="26"/>
      <c r="N20" s="26"/>
    </row>
    <row r="21" spans="1:14">
      <c r="A21" s="2" t="s">
        <v>153</v>
      </c>
      <c r="B21" s="2" t="s">
        <v>150</v>
      </c>
      <c r="C21" s="2" t="s">
        <v>154</v>
      </c>
      <c r="D21" s="2"/>
      <c r="E21" s="2" t="s">
        <v>154</v>
      </c>
      <c r="F21" s="26"/>
      <c r="G21" s="26"/>
      <c r="H21" s="26"/>
      <c r="I21" s="2" t="s">
        <v>155</v>
      </c>
      <c r="J21" s="2" t="s">
        <v>156</v>
      </c>
      <c r="K21" s="2" t="s">
        <v>157</v>
      </c>
      <c r="L21" s="29">
        <v>885000</v>
      </c>
      <c r="M21" s="26"/>
      <c r="N21" s="26"/>
    </row>
    <row r="22" spans="1:14">
      <c r="A22" s="2" t="s">
        <v>158</v>
      </c>
      <c r="B22" s="2" t="s">
        <v>137</v>
      </c>
      <c r="C22" s="2" t="s">
        <v>127</v>
      </c>
      <c r="D22" s="2"/>
      <c r="E22" s="2"/>
      <c r="F22" s="26"/>
      <c r="G22" s="26"/>
      <c r="H22" s="26"/>
      <c r="I22" s="2" t="s">
        <v>159</v>
      </c>
      <c r="J22" s="2" t="s">
        <v>160</v>
      </c>
      <c r="K22" s="2" t="s">
        <v>152</v>
      </c>
      <c r="L22" s="29">
        <v>985000</v>
      </c>
      <c r="M22" s="26"/>
      <c r="N22" s="26"/>
    </row>
    <row r="23" spans="1:14">
      <c r="A23" s="2" t="s">
        <v>161</v>
      </c>
      <c r="B23" s="2" t="s">
        <v>150</v>
      </c>
      <c r="C23" s="2"/>
      <c r="D23" s="2" t="s">
        <v>154</v>
      </c>
      <c r="E23" s="2" t="s">
        <v>154</v>
      </c>
      <c r="F23" s="26"/>
      <c r="G23" s="26"/>
      <c r="H23" s="26"/>
      <c r="I23" s="2" t="s">
        <v>162</v>
      </c>
      <c r="J23" s="2" t="s">
        <v>129</v>
      </c>
      <c r="K23" s="2" t="s">
        <v>163</v>
      </c>
      <c r="L23" s="29">
        <v>1200000</v>
      </c>
      <c r="M23" s="26"/>
      <c r="N23" s="26"/>
    </row>
    <row r="24" spans="1:14">
      <c r="A24" s="2" t="s">
        <v>164</v>
      </c>
      <c r="B24" s="2" t="s">
        <v>146</v>
      </c>
      <c r="C24" s="2" t="s">
        <v>154</v>
      </c>
      <c r="D24" s="2"/>
      <c r="E24" s="2" t="s">
        <v>154</v>
      </c>
      <c r="F24" s="26"/>
      <c r="G24" s="86" t="s">
        <v>116</v>
      </c>
      <c r="H24" s="26"/>
      <c r="I24" s="2" t="s">
        <v>165</v>
      </c>
      <c r="J24" s="2" t="s">
        <v>156</v>
      </c>
      <c r="K24" s="2" t="s">
        <v>144</v>
      </c>
      <c r="L24" s="29">
        <v>1100000</v>
      </c>
      <c r="M24" s="122" t="s">
        <v>166</v>
      </c>
      <c r="N24" s="122"/>
    </row>
    <row r="25" spans="1:14">
      <c r="A25" s="122" t="s">
        <v>167</v>
      </c>
      <c r="B25" s="122"/>
      <c r="C25" s="122"/>
      <c r="D25" s="122"/>
      <c r="E25" s="2" t="str">
        <f>DCOUNTA(A14:E24,3,G24:G25)&amp;"명"</f>
        <v>2명</v>
      </c>
      <c r="F25" s="26"/>
      <c r="G25" s="86" t="s">
        <v>132</v>
      </c>
      <c r="H25" s="26"/>
      <c r="I25" s="2" t="s">
        <v>168</v>
      </c>
      <c r="J25" s="2" t="s">
        <v>148</v>
      </c>
      <c r="K25" s="2" t="s">
        <v>157</v>
      </c>
      <c r="L25" s="29">
        <v>900000</v>
      </c>
      <c r="M25" s="123">
        <f>DMAX(I14:L25,L14,J14:J15)-DMIN(I14:L25,L14,J14:J15)</f>
        <v>300000</v>
      </c>
      <c r="N25" s="123"/>
    </row>
    <row r="26" spans="1:14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>
      <c r="A27" s="26" t="s">
        <v>169</v>
      </c>
      <c r="B27" s="27" t="s">
        <v>170</v>
      </c>
      <c r="C27" s="26"/>
      <c r="D27" s="26"/>
      <c r="E27" s="26"/>
      <c r="F27" s="26"/>
      <c r="G27" s="26"/>
      <c r="H27" s="26"/>
      <c r="I27" s="26" t="s">
        <v>171</v>
      </c>
      <c r="J27" s="27" t="s">
        <v>172</v>
      </c>
      <c r="K27" s="26"/>
      <c r="L27" s="26"/>
      <c r="M27" s="26"/>
      <c r="N27" s="26"/>
    </row>
    <row r="28" spans="1:14">
      <c r="A28" s="2" t="s">
        <v>173</v>
      </c>
      <c r="B28" s="2" t="s">
        <v>174</v>
      </c>
      <c r="C28" s="2" t="s">
        <v>175</v>
      </c>
      <c r="D28" s="2" t="s">
        <v>176</v>
      </c>
      <c r="E28" s="26"/>
      <c r="F28" s="26"/>
      <c r="G28" s="26"/>
      <c r="H28" s="26"/>
      <c r="I28" s="2" t="s">
        <v>177</v>
      </c>
      <c r="J28" s="2" t="s">
        <v>174</v>
      </c>
      <c r="K28" s="2" t="s">
        <v>178</v>
      </c>
      <c r="L28" s="2" t="s">
        <v>179</v>
      </c>
      <c r="M28" s="2" t="s">
        <v>180</v>
      </c>
      <c r="N28" s="2" t="s">
        <v>181</v>
      </c>
    </row>
    <row r="29" spans="1:14">
      <c r="A29" s="5" t="s">
        <v>182</v>
      </c>
      <c r="B29" s="5" t="s">
        <v>183</v>
      </c>
      <c r="C29" s="5" t="s">
        <v>184</v>
      </c>
      <c r="D29" s="2">
        <v>2018</v>
      </c>
      <c r="E29" s="26"/>
      <c r="F29" s="26"/>
      <c r="G29" s="26"/>
      <c r="H29" s="26"/>
      <c r="I29" s="2" t="s">
        <v>185</v>
      </c>
      <c r="J29" s="2" t="s">
        <v>186</v>
      </c>
      <c r="K29" s="2">
        <v>88</v>
      </c>
      <c r="L29" s="2">
        <v>89</v>
      </c>
      <c r="M29" s="2">
        <v>90</v>
      </c>
      <c r="N29" s="2">
        <f t="shared" ref="N29:N37" si="1">SUM(K29:M29)</f>
        <v>267</v>
      </c>
    </row>
    <row r="30" spans="1:14">
      <c r="A30" s="5" t="s">
        <v>187</v>
      </c>
      <c r="B30" s="5" t="s">
        <v>188</v>
      </c>
      <c r="C30" s="5" t="s">
        <v>189</v>
      </c>
      <c r="D30" s="2">
        <v>2015</v>
      </c>
      <c r="E30" s="26"/>
      <c r="F30" s="26"/>
      <c r="G30" s="26"/>
      <c r="H30" s="26"/>
      <c r="I30" s="2" t="s">
        <v>190</v>
      </c>
      <c r="J30" s="2" t="s">
        <v>188</v>
      </c>
      <c r="K30" s="2">
        <v>79</v>
      </c>
      <c r="L30" s="2">
        <v>85</v>
      </c>
      <c r="M30" s="2">
        <v>69</v>
      </c>
      <c r="N30" s="2">
        <f t="shared" si="1"/>
        <v>233</v>
      </c>
    </row>
    <row r="31" spans="1:14">
      <c r="A31" s="5" t="s">
        <v>191</v>
      </c>
      <c r="B31" s="5" t="s">
        <v>186</v>
      </c>
      <c r="C31" s="5" t="s">
        <v>189</v>
      </c>
      <c r="D31" s="2">
        <v>2015</v>
      </c>
      <c r="E31" s="26"/>
      <c r="F31" s="26"/>
      <c r="G31" s="26"/>
      <c r="H31" s="26"/>
      <c r="I31" s="2" t="s">
        <v>192</v>
      </c>
      <c r="J31" s="2" t="s">
        <v>186</v>
      </c>
      <c r="K31" s="2">
        <v>92</v>
      </c>
      <c r="L31" s="2">
        <v>90</v>
      </c>
      <c r="M31" s="2">
        <v>89</v>
      </c>
      <c r="N31" s="2">
        <f t="shared" si="1"/>
        <v>271</v>
      </c>
    </row>
    <row r="32" spans="1:14">
      <c r="A32" s="5" t="s">
        <v>193</v>
      </c>
      <c r="B32" s="5" t="s">
        <v>186</v>
      </c>
      <c r="C32" s="5" t="s">
        <v>194</v>
      </c>
      <c r="D32" s="2">
        <v>2016</v>
      </c>
      <c r="E32" s="26"/>
      <c r="F32" s="26"/>
      <c r="G32" s="26"/>
      <c r="H32" s="26"/>
      <c r="I32" s="2" t="s">
        <v>195</v>
      </c>
      <c r="J32" s="2" t="s">
        <v>196</v>
      </c>
      <c r="K32" s="2">
        <v>94</v>
      </c>
      <c r="L32" s="2">
        <v>95</v>
      </c>
      <c r="M32" s="2">
        <v>89</v>
      </c>
      <c r="N32" s="2">
        <f t="shared" si="1"/>
        <v>278</v>
      </c>
    </row>
    <row r="33" spans="1:14">
      <c r="A33" s="5" t="s">
        <v>197</v>
      </c>
      <c r="B33" s="5" t="s">
        <v>188</v>
      </c>
      <c r="C33" s="5" t="s">
        <v>184</v>
      </c>
      <c r="D33" s="2">
        <v>2015</v>
      </c>
      <c r="E33" s="26"/>
      <c r="F33" s="26"/>
      <c r="G33" s="26"/>
      <c r="H33" s="26"/>
      <c r="I33" s="2" t="s">
        <v>198</v>
      </c>
      <c r="J33" s="2" t="s">
        <v>188</v>
      </c>
      <c r="K33" s="2">
        <v>86</v>
      </c>
      <c r="L33" s="2">
        <v>92</v>
      </c>
      <c r="M33" s="2">
        <v>90</v>
      </c>
      <c r="N33" s="2">
        <f t="shared" si="1"/>
        <v>268</v>
      </c>
    </row>
    <row r="34" spans="1:14">
      <c r="A34" s="5" t="s">
        <v>199</v>
      </c>
      <c r="B34" s="5" t="s">
        <v>200</v>
      </c>
      <c r="C34" s="5" t="s">
        <v>201</v>
      </c>
      <c r="D34" s="2">
        <v>2018</v>
      </c>
      <c r="E34" s="26"/>
      <c r="F34" s="26"/>
      <c r="G34" s="26"/>
      <c r="H34" s="26"/>
      <c r="I34" s="2" t="s">
        <v>202</v>
      </c>
      <c r="J34" s="2" t="s">
        <v>186</v>
      </c>
      <c r="K34" s="2">
        <v>90</v>
      </c>
      <c r="L34" s="2">
        <v>95</v>
      </c>
      <c r="M34" s="2">
        <v>92</v>
      </c>
      <c r="N34" s="2">
        <f t="shared" si="1"/>
        <v>277</v>
      </c>
    </row>
    <row r="35" spans="1:14">
      <c r="A35" s="5" t="s">
        <v>203</v>
      </c>
      <c r="B35" s="5" t="s">
        <v>186</v>
      </c>
      <c r="C35" s="5" t="s">
        <v>204</v>
      </c>
      <c r="D35" s="2">
        <v>2015</v>
      </c>
      <c r="E35" s="26"/>
      <c r="F35" s="26"/>
      <c r="G35" s="26"/>
      <c r="H35" s="26"/>
      <c r="I35" s="2" t="s">
        <v>205</v>
      </c>
      <c r="J35" s="2" t="s">
        <v>186</v>
      </c>
      <c r="K35" s="2">
        <v>88</v>
      </c>
      <c r="L35" s="2">
        <v>84</v>
      </c>
      <c r="M35" s="2">
        <v>80</v>
      </c>
      <c r="N35" s="2">
        <f t="shared" si="1"/>
        <v>252</v>
      </c>
    </row>
    <row r="36" spans="1:14">
      <c r="A36" s="5" t="s">
        <v>206</v>
      </c>
      <c r="B36" s="5" t="s">
        <v>196</v>
      </c>
      <c r="C36" s="5" t="s">
        <v>184</v>
      </c>
      <c r="D36" s="2">
        <v>2018</v>
      </c>
      <c r="E36" s="26"/>
      <c r="F36" s="26"/>
      <c r="G36" s="26"/>
      <c r="H36" s="26"/>
      <c r="I36" s="2" t="s">
        <v>207</v>
      </c>
      <c r="J36" s="2" t="s">
        <v>196</v>
      </c>
      <c r="K36" s="2">
        <v>77</v>
      </c>
      <c r="L36" s="2">
        <v>80</v>
      </c>
      <c r="M36" s="2">
        <v>79</v>
      </c>
      <c r="N36" s="2">
        <f t="shared" si="1"/>
        <v>236</v>
      </c>
    </row>
    <row r="37" spans="1:14">
      <c r="A37" s="5" t="s">
        <v>208</v>
      </c>
      <c r="B37" s="5" t="s">
        <v>196</v>
      </c>
      <c r="C37" s="5" t="s">
        <v>201</v>
      </c>
      <c r="D37" s="2">
        <v>2017</v>
      </c>
      <c r="E37" s="26"/>
      <c r="F37" s="26"/>
      <c r="G37" s="26"/>
      <c r="H37" s="26"/>
      <c r="I37" s="2" t="s">
        <v>209</v>
      </c>
      <c r="J37" s="2" t="s">
        <v>188</v>
      </c>
      <c r="K37" s="2">
        <v>80</v>
      </c>
      <c r="L37" s="2">
        <v>85</v>
      </c>
      <c r="M37" s="2">
        <v>90</v>
      </c>
      <c r="N37" s="2">
        <f t="shared" si="1"/>
        <v>255</v>
      </c>
    </row>
    <row r="38" spans="1:14">
      <c r="A38" s="5" t="s">
        <v>210</v>
      </c>
      <c r="B38" s="5" t="s">
        <v>186</v>
      </c>
      <c r="C38" s="5" t="s">
        <v>211</v>
      </c>
      <c r="D38" s="2">
        <v>2018</v>
      </c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spans="1:14">
      <c r="A39" s="119" t="s">
        <v>212</v>
      </c>
      <c r="B39" s="120"/>
      <c r="C39" s="121"/>
      <c r="D39" s="2" t="str">
        <f>DCOUNT(A28:D38,4,C28:C29)&amp;"명"</f>
        <v>3명</v>
      </c>
      <c r="E39" s="26"/>
      <c r="F39" s="26"/>
      <c r="G39" s="26"/>
      <c r="H39" s="26"/>
      <c r="I39" s="86" t="s">
        <v>174</v>
      </c>
      <c r="J39" s="86" t="s">
        <v>179</v>
      </c>
      <c r="K39" s="86" t="s">
        <v>180</v>
      </c>
      <c r="L39" s="119" t="s">
        <v>213</v>
      </c>
      <c r="M39" s="120"/>
      <c r="N39" s="121"/>
    </row>
    <row r="40" spans="1:14">
      <c r="A40" s="26"/>
      <c r="B40" s="26"/>
      <c r="C40" s="26"/>
      <c r="D40" s="26"/>
      <c r="E40" s="26"/>
      <c r="F40" s="26"/>
      <c r="G40" s="26"/>
      <c r="H40" s="26"/>
      <c r="I40" s="86" t="s">
        <v>188</v>
      </c>
      <c r="J40" s="14" t="s">
        <v>1129</v>
      </c>
      <c r="K40" s="26"/>
      <c r="L40" s="116">
        <f>DAVERAGE(I28:N37,6,I39:K41)</f>
        <v>272.5</v>
      </c>
      <c r="M40" s="117"/>
      <c r="N40" s="118"/>
    </row>
    <row r="41" spans="1:14">
      <c r="I41" s="86" t="s">
        <v>183</v>
      </c>
      <c r="K41" t="s">
        <v>1130</v>
      </c>
    </row>
  </sheetData>
  <mergeCells count="8">
    <mergeCell ref="L40:N40"/>
    <mergeCell ref="A11:D11"/>
    <mergeCell ref="I11:K11"/>
    <mergeCell ref="M24:N24"/>
    <mergeCell ref="A25:D25"/>
    <mergeCell ref="M25:N25"/>
    <mergeCell ref="A39:C39"/>
    <mergeCell ref="L39:N39"/>
  </mergeCells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/>
  </sheetViews>
  <sheetFormatPr defaultColWidth="9" defaultRowHeight="17"/>
  <cols>
    <col min="1" max="3" width="9" style="32"/>
    <col min="4" max="5" width="10.83203125" style="32" bestFit="1" customWidth="1"/>
    <col min="6" max="6" width="1.58203125" style="32" customWidth="1"/>
    <col min="7" max="7" width="13.75" style="32" bestFit="1" customWidth="1"/>
    <col min="8" max="8" width="10.08203125" style="32" customWidth="1"/>
    <col min="9" max="9" width="12.75" style="32" customWidth="1"/>
    <col min="10" max="10" width="11.58203125" style="32" bestFit="1" customWidth="1"/>
    <col min="11" max="16384" width="9" style="32"/>
  </cols>
  <sheetData>
    <row r="1" spans="1:14">
      <c r="A1" s="7" t="s">
        <v>65</v>
      </c>
      <c r="B1" s="31" t="s">
        <v>1148</v>
      </c>
      <c r="C1" s="7"/>
      <c r="D1" s="7"/>
      <c r="E1" s="7"/>
      <c r="F1" s="7"/>
      <c r="G1" s="7" t="s">
        <v>67</v>
      </c>
      <c r="H1" s="31" t="s">
        <v>216</v>
      </c>
      <c r="I1" s="7"/>
      <c r="J1" s="7"/>
      <c r="K1" s="7"/>
      <c r="L1" s="7"/>
      <c r="M1" s="7"/>
      <c r="N1" s="7"/>
    </row>
    <row r="2" spans="1:14">
      <c r="A2" s="86" t="s">
        <v>1131</v>
      </c>
      <c r="B2" s="86" t="s">
        <v>1132</v>
      </c>
      <c r="C2" s="86" t="s">
        <v>1133</v>
      </c>
      <c r="D2" s="86" t="s">
        <v>1134</v>
      </c>
      <c r="E2" s="91" t="s">
        <v>1135</v>
      </c>
      <c r="F2" s="7"/>
      <c r="G2" s="86" t="s">
        <v>69</v>
      </c>
      <c r="H2" s="86" t="s">
        <v>221</v>
      </c>
      <c r="I2" s="86" t="s">
        <v>123</v>
      </c>
      <c r="J2" s="86" t="s">
        <v>76</v>
      </c>
      <c r="K2" s="86" t="s">
        <v>77</v>
      </c>
      <c r="L2" s="7"/>
      <c r="M2" s="7"/>
      <c r="N2" s="7"/>
    </row>
    <row r="3" spans="1:14">
      <c r="A3" s="86" t="s">
        <v>1136</v>
      </c>
      <c r="B3" s="86" t="s">
        <v>1137</v>
      </c>
      <c r="C3" s="111">
        <v>5</v>
      </c>
      <c r="D3" s="111">
        <v>25</v>
      </c>
      <c r="E3" s="38"/>
      <c r="F3" s="7"/>
      <c r="G3" s="86" t="s">
        <v>225</v>
      </c>
      <c r="H3" s="86" t="s">
        <v>226</v>
      </c>
      <c r="I3" s="88">
        <v>2800</v>
      </c>
      <c r="J3" s="88">
        <v>62</v>
      </c>
      <c r="K3" s="88">
        <f>I3*J3</f>
        <v>173600</v>
      </c>
      <c r="L3" s="7"/>
      <c r="M3" s="7"/>
      <c r="N3" s="7"/>
    </row>
    <row r="4" spans="1:14">
      <c r="A4" s="86" t="s">
        <v>1136</v>
      </c>
      <c r="B4" s="86" t="s">
        <v>1138</v>
      </c>
      <c r="C4" s="111">
        <v>5</v>
      </c>
      <c r="D4" s="111">
        <v>25</v>
      </c>
      <c r="E4" s="38"/>
      <c r="F4" s="7"/>
      <c r="G4" s="86" t="s">
        <v>228</v>
      </c>
      <c r="H4" s="86" t="s">
        <v>229</v>
      </c>
      <c r="I4" s="88">
        <v>15600</v>
      </c>
      <c r="J4" s="88">
        <v>28</v>
      </c>
      <c r="K4" s="88">
        <f t="shared" ref="K4:K11" si="0">I4*J4</f>
        <v>436800</v>
      </c>
      <c r="L4" s="7"/>
      <c r="M4" s="7"/>
      <c r="N4" s="7"/>
    </row>
    <row r="5" spans="1:14">
      <c r="A5" s="86" t="s">
        <v>1136</v>
      </c>
      <c r="B5" s="86" t="s">
        <v>1139</v>
      </c>
      <c r="C5" s="111">
        <v>5</v>
      </c>
      <c r="D5" s="111">
        <v>25</v>
      </c>
      <c r="E5" s="38"/>
      <c r="F5" s="7"/>
      <c r="G5" s="86" t="s">
        <v>230</v>
      </c>
      <c r="H5" s="86" t="s">
        <v>231</v>
      </c>
      <c r="I5" s="88">
        <v>4500</v>
      </c>
      <c r="J5" s="88">
        <v>57</v>
      </c>
      <c r="K5" s="88">
        <f t="shared" si="0"/>
        <v>256500</v>
      </c>
      <c r="L5" s="7"/>
      <c r="M5" s="7"/>
      <c r="N5" s="7"/>
    </row>
    <row r="6" spans="1:14">
      <c r="A6" s="86" t="s">
        <v>1136</v>
      </c>
      <c r="B6" s="86" t="s">
        <v>1140</v>
      </c>
      <c r="C6" s="111">
        <v>5</v>
      </c>
      <c r="D6" s="111">
        <v>25</v>
      </c>
      <c r="E6" s="38"/>
      <c r="F6" s="7"/>
      <c r="G6" s="86" t="s">
        <v>228</v>
      </c>
      <c r="H6" s="86" t="s">
        <v>234</v>
      </c>
      <c r="I6" s="88">
        <v>5600</v>
      </c>
      <c r="J6" s="88">
        <v>65</v>
      </c>
      <c r="K6" s="88">
        <f t="shared" si="0"/>
        <v>364000</v>
      </c>
      <c r="L6" s="7"/>
      <c r="M6" s="7"/>
      <c r="N6" s="7"/>
    </row>
    <row r="7" spans="1:14">
      <c r="A7" s="86" t="s">
        <v>1136</v>
      </c>
      <c r="B7" s="86" t="s">
        <v>1141</v>
      </c>
      <c r="C7" s="111">
        <v>5</v>
      </c>
      <c r="D7" s="111">
        <v>25</v>
      </c>
      <c r="E7" s="38"/>
      <c r="F7" s="7"/>
      <c r="G7" s="86" t="s">
        <v>225</v>
      </c>
      <c r="H7" s="86" t="s">
        <v>235</v>
      </c>
      <c r="I7" s="88">
        <v>6500</v>
      </c>
      <c r="J7" s="88">
        <v>48</v>
      </c>
      <c r="K7" s="88">
        <f t="shared" si="0"/>
        <v>312000</v>
      </c>
      <c r="L7" s="7"/>
      <c r="M7" s="7"/>
      <c r="N7" s="7"/>
    </row>
    <row r="8" spans="1:14">
      <c r="A8" s="86" t="s">
        <v>1142</v>
      </c>
      <c r="B8" s="86" t="s">
        <v>1143</v>
      </c>
      <c r="C8" s="111">
        <v>1</v>
      </c>
      <c r="D8" s="111">
        <v>25</v>
      </c>
      <c r="E8" s="38"/>
      <c r="F8" s="7"/>
      <c r="G8" s="86" t="s">
        <v>230</v>
      </c>
      <c r="H8" s="86" t="s">
        <v>237</v>
      </c>
      <c r="I8" s="88">
        <v>12500</v>
      </c>
      <c r="J8" s="88">
        <v>65</v>
      </c>
      <c r="K8" s="88">
        <f t="shared" si="0"/>
        <v>812500</v>
      </c>
      <c r="L8" s="7"/>
      <c r="M8" s="7"/>
      <c r="N8" s="7"/>
    </row>
    <row r="9" spans="1:14">
      <c r="A9" s="86" t="s">
        <v>1142</v>
      </c>
      <c r="B9" s="86" t="s">
        <v>1144</v>
      </c>
      <c r="C9" s="111">
        <v>1</v>
      </c>
      <c r="D9" s="111">
        <v>25</v>
      </c>
      <c r="E9" s="38"/>
      <c r="F9" s="7"/>
      <c r="G9" s="86" t="s">
        <v>228</v>
      </c>
      <c r="H9" s="86" t="s">
        <v>239</v>
      </c>
      <c r="I9" s="88">
        <v>8300</v>
      </c>
      <c r="J9" s="88">
        <v>27</v>
      </c>
      <c r="K9" s="88">
        <f t="shared" si="0"/>
        <v>224100</v>
      </c>
      <c r="L9" s="7"/>
      <c r="M9" s="7"/>
      <c r="N9" s="7"/>
    </row>
    <row r="10" spans="1:14">
      <c r="A10" s="86" t="s">
        <v>1142</v>
      </c>
      <c r="B10" s="86" t="s">
        <v>1145</v>
      </c>
      <c r="C10" s="111">
        <v>1</v>
      </c>
      <c r="D10" s="111">
        <v>25</v>
      </c>
      <c r="E10" s="38"/>
      <c r="F10" s="7"/>
      <c r="G10" s="86" t="s">
        <v>230</v>
      </c>
      <c r="H10" s="86" t="s">
        <v>241</v>
      </c>
      <c r="I10" s="88">
        <v>7200</v>
      </c>
      <c r="J10" s="88">
        <v>65</v>
      </c>
      <c r="K10" s="88">
        <f t="shared" si="0"/>
        <v>468000</v>
      </c>
      <c r="L10" s="7"/>
      <c r="M10" s="7"/>
      <c r="N10" s="7"/>
    </row>
    <row r="11" spans="1:14">
      <c r="A11" s="86" t="s">
        <v>1142</v>
      </c>
      <c r="B11" s="86" t="s">
        <v>1146</v>
      </c>
      <c r="C11" s="111">
        <v>1</v>
      </c>
      <c r="D11" s="111">
        <v>25</v>
      </c>
      <c r="E11" s="38"/>
      <c r="F11" s="7"/>
      <c r="G11" s="86" t="s">
        <v>225</v>
      </c>
      <c r="H11" s="86" t="s">
        <v>243</v>
      </c>
      <c r="I11" s="88">
        <v>6300</v>
      </c>
      <c r="J11" s="88">
        <v>45</v>
      </c>
      <c r="K11" s="88">
        <f t="shared" si="0"/>
        <v>283500</v>
      </c>
      <c r="L11" s="7"/>
      <c r="M11" s="7"/>
      <c r="N11" s="7"/>
    </row>
    <row r="12" spans="1:14">
      <c r="A12" s="86" t="s">
        <v>1142</v>
      </c>
      <c r="B12" s="86" t="s">
        <v>1147</v>
      </c>
      <c r="C12" s="111">
        <v>1</v>
      </c>
      <c r="D12" s="111">
        <v>25</v>
      </c>
      <c r="E12" s="38"/>
      <c r="F12" s="7"/>
      <c r="G12" s="122" t="s">
        <v>245</v>
      </c>
      <c r="H12" s="122"/>
      <c r="I12" s="122"/>
      <c r="J12" s="122"/>
      <c r="K12" s="33"/>
      <c r="L12" s="7"/>
      <c r="M12" s="7"/>
      <c r="N12" s="7"/>
    </row>
    <row r="13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>
      <c r="A14" s="7" t="s">
        <v>112</v>
      </c>
      <c r="B14" s="31" t="s">
        <v>247</v>
      </c>
      <c r="C14" s="7"/>
      <c r="D14" s="7"/>
      <c r="E14" s="7"/>
      <c r="F14" s="7"/>
      <c r="G14" s="7" t="s">
        <v>114</v>
      </c>
      <c r="H14" s="31" t="s">
        <v>249</v>
      </c>
      <c r="I14" s="7"/>
      <c r="J14" s="7"/>
      <c r="K14" s="7"/>
      <c r="L14" s="7"/>
      <c r="M14" s="7"/>
      <c r="N14" s="7"/>
    </row>
    <row r="15" spans="1:14">
      <c r="A15" s="86" t="s">
        <v>250</v>
      </c>
      <c r="B15" s="86" t="s">
        <v>174</v>
      </c>
      <c r="C15" s="86" t="s">
        <v>252</v>
      </c>
      <c r="D15" s="86" t="s">
        <v>253</v>
      </c>
      <c r="E15" s="86" t="s">
        <v>254</v>
      </c>
      <c r="F15" s="7"/>
      <c r="G15" s="86" t="s">
        <v>255</v>
      </c>
      <c r="H15" s="86" t="s">
        <v>256</v>
      </c>
      <c r="I15" s="86" t="s">
        <v>257</v>
      </c>
      <c r="J15" s="86" t="s">
        <v>258</v>
      </c>
      <c r="K15" s="86" t="s">
        <v>259</v>
      </c>
      <c r="L15" s="7"/>
      <c r="M15" s="7"/>
      <c r="N15" s="7"/>
    </row>
    <row r="16" spans="1:14">
      <c r="A16" s="86" t="s">
        <v>260</v>
      </c>
      <c r="B16" s="86" t="s">
        <v>188</v>
      </c>
      <c r="C16" s="86" t="s">
        <v>262</v>
      </c>
      <c r="D16" s="33">
        <v>4</v>
      </c>
      <c r="E16" s="33">
        <v>1208000</v>
      </c>
      <c r="F16" s="7"/>
      <c r="G16" s="86" t="s">
        <v>263</v>
      </c>
      <c r="H16" s="86" t="s">
        <v>264</v>
      </c>
      <c r="I16" s="86" t="s">
        <v>265</v>
      </c>
      <c r="J16" s="88">
        <v>414603</v>
      </c>
      <c r="K16" s="88">
        <v>39139</v>
      </c>
      <c r="L16" s="7"/>
      <c r="M16" s="7"/>
      <c r="N16" s="7"/>
    </row>
    <row r="17" spans="1:14">
      <c r="A17" s="86" t="s">
        <v>266</v>
      </c>
      <c r="B17" s="86" t="s">
        <v>183</v>
      </c>
      <c r="C17" s="86" t="s">
        <v>268</v>
      </c>
      <c r="D17" s="33">
        <v>9</v>
      </c>
      <c r="E17" s="33">
        <v>2214000</v>
      </c>
      <c r="F17" s="7"/>
      <c r="G17" s="86" t="s">
        <v>269</v>
      </c>
      <c r="H17" s="86" t="s">
        <v>270</v>
      </c>
      <c r="I17" s="86" t="s">
        <v>271</v>
      </c>
      <c r="J17" s="88">
        <v>529541</v>
      </c>
      <c r="K17" s="88">
        <v>28880</v>
      </c>
      <c r="L17" s="7"/>
      <c r="M17" s="7"/>
      <c r="N17" s="7"/>
    </row>
    <row r="18" spans="1:14">
      <c r="A18" s="86" t="s">
        <v>272</v>
      </c>
      <c r="B18" s="86" t="s">
        <v>188</v>
      </c>
      <c r="C18" s="86" t="s">
        <v>262</v>
      </c>
      <c r="D18" s="33">
        <v>5</v>
      </c>
      <c r="E18" s="33">
        <v>1425000</v>
      </c>
      <c r="F18" s="7"/>
      <c r="G18" s="86" t="s">
        <v>274</v>
      </c>
      <c r="H18" s="86" t="s">
        <v>275</v>
      </c>
      <c r="I18" s="86" t="s">
        <v>276</v>
      </c>
      <c r="J18" s="88">
        <v>3144537</v>
      </c>
      <c r="K18" s="88">
        <v>27171</v>
      </c>
      <c r="L18" s="7"/>
      <c r="M18" s="7"/>
      <c r="N18" s="7"/>
    </row>
    <row r="19" spans="1:14">
      <c r="A19" s="86" t="s">
        <v>277</v>
      </c>
      <c r="B19" s="86" t="s">
        <v>183</v>
      </c>
      <c r="C19" s="86" t="s">
        <v>262</v>
      </c>
      <c r="D19" s="33">
        <v>1</v>
      </c>
      <c r="E19" s="33">
        <v>265000</v>
      </c>
      <c r="F19" s="7"/>
      <c r="G19" s="86" t="s">
        <v>279</v>
      </c>
      <c r="H19" s="86" t="s">
        <v>280</v>
      </c>
      <c r="I19" s="86" t="s">
        <v>276</v>
      </c>
      <c r="J19" s="88">
        <v>1363686</v>
      </c>
      <c r="K19" s="88">
        <v>19120</v>
      </c>
      <c r="L19" s="7"/>
      <c r="M19" s="7"/>
      <c r="N19" s="7"/>
    </row>
    <row r="20" spans="1:14">
      <c r="A20" s="86" t="s">
        <v>281</v>
      </c>
      <c r="B20" s="86" t="s">
        <v>188</v>
      </c>
      <c r="C20" s="86" t="s">
        <v>282</v>
      </c>
      <c r="D20" s="33">
        <v>4</v>
      </c>
      <c r="E20" s="33">
        <v>1168000</v>
      </c>
      <c r="F20" s="7"/>
      <c r="G20" s="86" t="s">
        <v>283</v>
      </c>
      <c r="H20" s="86" t="s">
        <v>284</v>
      </c>
      <c r="I20" s="86" t="s">
        <v>271</v>
      </c>
      <c r="J20" s="88">
        <v>328043</v>
      </c>
      <c r="K20" s="88">
        <v>9255</v>
      </c>
      <c r="L20" s="7"/>
      <c r="M20" s="7"/>
      <c r="N20" s="7"/>
    </row>
    <row r="21" spans="1:14">
      <c r="A21" s="86" t="s">
        <v>286</v>
      </c>
      <c r="B21" s="86" t="s">
        <v>183</v>
      </c>
      <c r="C21" s="86" t="s">
        <v>268</v>
      </c>
      <c r="D21" s="33">
        <v>5</v>
      </c>
      <c r="E21" s="33">
        <v>1500000</v>
      </c>
      <c r="F21" s="7"/>
      <c r="G21" s="86" t="s">
        <v>288</v>
      </c>
      <c r="H21" s="86" t="s">
        <v>289</v>
      </c>
      <c r="I21" s="86" t="s">
        <v>271</v>
      </c>
      <c r="J21" s="88">
        <v>5656789</v>
      </c>
      <c r="K21" s="88">
        <v>6842</v>
      </c>
      <c r="L21" s="7"/>
      <c r="M21" s="7"/>
      <c r="N21" s="7"/>
    </row>
    <row r="22" spans="1:14">
      <c r="A22" s="86" t="s">
        <v>290</v>
      </c>
      <c r="B22" s="86" t="s">
        <v>183</v>
      </c>
      <c r="C22" s="86" t="s">
        <v>268</v>
      </c>
      <c r="D22" s="33">
        <v>9</v>
      </c>
      <c r="E22" s="33">
        <v>2493000</v>
      </c>
      <c r="F22" s="7"/>
      <c r="G22" s="86" t="s">
        <v>291</v>
      </c>
      <c r="H22" s="86" t="s">
        <v>264</v>
      </c>
      <c r="I22" s="86" t="s">
        <v>276</v>
      </c>
      <c r="J22" s="88">
        <v>1578</v>
      </c>
      <c r="K22" s="88">
        <v>128</v>
      </c>
      <c r="L22" s="7"/>
      <c r="M22" s="7"/>
      <c r="N22" s="7"/>
    </row>
    <row r="23" spans="1:14">
      <c r="A23" s="86" t="s">
        <v>293</v>
      </c>
      <c r="B23" s="86" t="s">
        <v>188</v>
      </c>
      <c r="C23" s="86" t="s">
        <v>268</v>
      </c>
      <c r="D23" s="33">
        <v>4</v>
      </c>
      <c r="E23" s="33">
        <v>1020000</v>
      </c>
      <c r="F23" s="7"/>
      <c r="G23" s="86" t="s">
        <v>294</v>
      </c>
      <c r="H23" s="86" t="s">
        <v>270</v>
      </c>
      <c r="I23" s="86" t="s">
        <v>265</v>
      </c>
      <c r="J23" s="88">
        <v>298095</v>
      </c>
      <c r="K23" s="88">
        <v>1842</v>
      </c>
      <c r="L23" s="7"/>
      <c r="M23" s="7"/>
      <c r="N23" s="7"/>
    </row>
    <row r="24" spans="1:14">
      <c r="A24" s="86" t="s">
        <v>297</v>
      </c>
      <c r="B24" s="86" t="s">
        <v>183</v>
      </c>
      <c r="C24" s="86" t="s">
        <v>282</v>
      </c>
      <c r="D24" s="33">
        <v>7</v>
      </c>
      <c r="E24" s="33">
        <v>1967000</v>
      </c>
      <c r="F24" s="7"/>
      <c r="G24" s="86" t="s">
        <v>298</v>
      </c>
      <c r="H24" s="86" t="s">
        <v>264</v>
      </c>
      <c r="I24" s="86" t="s">
        <v>276</v>
      </c>
      <c r="J24" s="88">
        <v>983</v>
      </c>
      <c r="K24" s="88">
        <v>151</v>
      </c>
      <c r="L24" s="119" t="s">
        <v>300</v>
      </c>
      <c r="M24" s="120"/>
      <c r="N24" s="121"/>
    </row>
    <row r="25" spans="1:14">
      <c r="A25" s="119" t="s">
        <v>301</v>
      </c>
      <c r="B25" s="120"/>
      <c r="C25" s="120"/>
      <c r="D25" s="121"/>
      <c r="E25" s="33"/>
      <c r="F25" s="7"/>
      <c r="G25" s="86" t="s">
        <v>302</v>
      </c>
      <c r="H25" s="86" t="s">
        <v>264</v>
      </c>
      <c r="I25" s="86" t="s">
        <v>276</v>
      </c>
      <c r="J25" s="88">
        <v>36253</v>
      </c>
      <c r="K25" s="88">
        <v>1029</v>
      </c>
      <c r="L25" s="114"/>
      <c r="M25" s="124"/>
      <c r="N25" s="115"/>
    </row>
  </sheetData>
  <mergeCells count="4">
    <mergeCell ref="G12:J12"/>
    <mergeCell ref="L24:N24"/>
    <mergeCell ref="A25:D25"/>
    <mergeCell ref="L25:N25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zoomScaleNormal="100" workbookViewId="0"/>
  </sheetViews>
  <sheetFormatPr defaultColWidth="9" defaultRowHeight="17"/>
  <cols>
    <col min="1" max="3" width="9" style="32"/>
    <col min="4" max="5" width="10.83203125" style="32" bestFit="1" customWidth="1"/>
    <col min="6" max="6" width="1.58203125" style="32" customWidth="1"/>
    <col min="7" max="7" width="13.75" style="32" bestFit="1" customWidth="1"/>
    <col min="8" max="8" width="10.08203125" style="32" customWidth="1"/>
    <col min="9" max="9" width="12.75" style="32" customWidth="1"/>
    <col min="10" max="10" width="11.58203125" style="32" bestFit="1" customWidth="1"/>
    <col min="11" max="11" width="10.58203125" style="32" bestFit="1" customWidth="1"/>
    <col min="12" max="16384" width="9" style="32"/>
  </cols>
  <sheetData>
    <row r="1" spans="1:14">
      <c r="A1" s="7" t="s">
        <v>65</v>
      </c>
      <c r="B1" s="31" t="s">
        <v>1148</v>
      </c>
      <c r="C1" s="7"/>
      <c r="D1" s="7"/>
      <c r="E1" s="7"/>
      <c r="F1" s="7"/>
      <c r="G1" s="7" t="s">
        <v>215</v>
      </c>
      <c r="H1" s="31" t="s">
        <v>216</v>
      </c>
      <c r="I1" s="7"/>
      <c r="J1" s="7"/>
      <c r="K1" s="7"/>
      <c r="L1" s="7"/>
      <c r="M1" s="7"/>
      <c r="N1" s="7"/>
    </row>
    <row r="2" spans="1:14">
      <c r="A2" s="111" t="s">
        <v>1131</v>
      </c>
      <c r="B2" s="111" t="s">
        <v>1149</v>
      </c>
      <c r="C2" s="111" t="s">
        <v>1133</v>
      </c>
      <c r="D2" s="111" t="s">
        <v>1134</v>
      </c>
      <c r="E2" s="112" t="s">
        <v>1150</v>
      </c>
      <c r="F2" s="7"/>
      <c r="G2" s="2" t="s">
        <v>220</v>
      </c>
      <c r="H2" s="2" t="s">
        <v>221</v>
      </c>
      <c r="I2" s="2" t="s">
        <v>222</v>
      </c>
      <c r="J2" s="2" t="s">
        <v>76</v>
      </c>
      <c r="K2" s="2" t="s">
        <v>223</v>
      </c>
      <c r="L2" s="7"/>
      <c r="M2" s="7"/>
      <c r="N2" s="7"/>
    </row>
    <row r="3" spans="1:14">
      <c r="A3" s="111" t="s">
        <v>1136</v>
      </c>
      <c r="B3" s="111" t="s">
        <v>1137</v>
      </c>
      <c r="C3" s="111">
        <v>5</v>
      </c>
      <c r="D3" s="111">
        <v>25</v>
      </c>
      <c r="E3" s="38" t="str">
        <f t="shared" ref="E3:E11" ca="1" si="0">RANDBETWEEN(C3,D3)&amp;"층"</f>
        <v>8층</v>
      </c>
      <c r="F3" s="7"/>
      <c r="G3" s="2" t="s">
        <v>225</v>
      </c>
      <c r="H3" s="2" t="s">
        <v>226</v>
      </c>
      <c r="I3" s="29">
        <v>2800</v>
      </c>
      <c r="J3" s="29">
        <v>62</v>
      </c>
      <c r="K3" s="29">
        <f>I3*J3</f>
        <v>173600</v>
      </c>
      <c r="L3" s="7"/>
      <c r="M3" s="7"/>
      <c r="N3" s="7"/>
    </row>
    <row r="4" spans="1:14">
      <c r="A4" s="111" t="s">
        <v>1136</v>
      </c>
      <c r="B4" s="111" t="s">
        <v>1138</v>
      </c>
      <c r="C4" s="111">
        <v>5</v>
      </c>
      <c r="D4" s="111">
        <v>25</v>
      </c>
      <c r="E4" s="38" t="str">
        <f t="shared" ca="1" si="0"/>
        <v>22층</v>
      </c>
      <c r="F4" s="7"/>
      <c r="G4" s="2" t="s">
        <v>228</v>
      </c>
      <c r="H4" s="2" t="s">
        <v>229</v>
      </c>
      <c r="I4" s="29">
        <v>15600</v>
      </c>
      <c r="J4" s="29">
        <v>28</v>
      </c>
      <c r="K4" s="29">
        <f t="shared" ref="K4:K11" si="1">I4*J4</f>
        <v>436800</v>
      </c>
      <c r="L4" s="7"/>
      <c r="M4" s="7"/>
      <c r="N4" s="7"/>
    </row>
    <row r="5" spans="1:14">
      <c r="A5" s="111" t="s">
        <v>1136</v>
      </c>
      <c r="B5" s="111" t="s">
        <v>1139</v>
      </c>
      <c r="C5" s="111">
        <v>5</v>
      </c>
      <c r="D5" s="111">
        <v>25</v>
      </c>
      <c r="E5" s="38" t="str">
        <f t="shared" ca="1" si="0"/>
        <v>19층</v>
      </c>
      <c r="F5" s="7"/>
      <c r="G5" s="2" t="s">
        <v>230</v>
      </c>
      <c r="H5" s="2" t="s">
        <v>231</v>
      </c>
      <c r="I5" s="29">
        <v>4500</v>
      </c>
      <c r="J5" s="29">
        <v>57</v>
      </c>
      <c r="K5" s="29">
        <f t="shared" si="1"/>
        <v>256500</v>
      </c>
      <c r="L5" s="7"/>
      <c r="M5" s="7"/>
      <c r="N5" s="7"/>
    </row>
    <row r="6" spans="1:14">
      <c r="A6" s="111" t="s">
        <v>1136</v>
      </c>
      <c r="B6" s="111" t="s">
        <v>1140</v>
      </c>
      <c r="C6" s="111">
        <v>5</v>
      </c>
      <c r="D6" s="111">
        <v>25</v>
      </c>
      <c r="E6" s="38" t="str">
        <f t="shared" ca="1" si="0"/>
        <v>12층</v>
      </c>
      <c r="F6" s="7"/>
      <c r="G6" s="2" t="s">
        <v>233</v>
      </c>
      <c r="H6" s="2" t="s">
        <v>234</v>
      </c>
      <c r="I6" s="29">
        <v>5600</v>
      </c>
      <c r="J6" s="29">
        <v>65</v>
      </c>
      <c r="K6" s="29">
        <f t="shared" si="1"/>
        <v>364000</v>
      </c>
      <c r="L6" s="7"/>
      <c r="M6" s="7"/>
      <c r="N6" s="7"/>
    </row>
    <row r="7" spans="1:14">
      <c r="A7" s="111" t="s">
        <v>1136</v>
      </c>
      <c r="B7" s="111" t="s">
        <v>1141</v>
      </c>
      <c r="C7" s="111">
        <v>5</v>
      </c>
      <c r="D7" s="111">
        <v>25</v>
      </c>
      <c r="E7" s="38" t="str">
        <f t="shared" ca="1" si="0"/>
        <v>15층</v>
      </c>
      <c r="F7" s="7"/>
      <c r="G7" s="2" t="s">
        <v>225</v>
      </c>
      <c r="H7" s="2" t="s">
        <v>235</v>
      </c>
      <c r="I7" s="29">
        <v>6500</v>
      </c>
      <c r="J7" s="29">
        <v>48</v>
      </c>
      <c r="K7" s="29">
        <f t="shared" si="1"/>
        <v>312000</v>
      </c>
      <c r="L7" s="7"/>
      <c r="M7" s="7"/>
      <c r="N7" s="7"/>
    </row>
    <row r="8" spans="1:14">
      <c r="A8" s="111" t="s">
        <v>1142</v>
      </c>
      <c r="B8" s="111" t="s">
        <v>1143</v>
      </c>
      <c r="C8" s="111">
        <v>1</v>
      </c>
      <c r="D8" s="111">
        <v>25</v>
      </c>
      <c r="E8" s="38" t="str">
        <f t="shared" ca="1" si="0"/>
        <v>18층</v>
      </c>
      <c r="F8" s="7"/>
      <c r="G8" s="2" t="s">
        <v>230</v>
      </c>
      <c r="H8" s="2" t="s">
        <v>237</v>
      </c>
      <c r="I8" s="29">
        <v>12500</v>
      </c>
      <c r="J8" s="29">
        <v>65</v>
      </c>
      <c r="K8" s="29">
        <f t="shared" si="1"/>
        <v>812500</v>
      </c>
      <c r="L8" s="7"/>
      <c r="M8" s="7"/>
      <c r="N8" s="7"/>
    </row>
    <row r="9" spans="1:14">
      <c r="A9" s="111" t="s">
        <v>1142</v>
      </c>
      <c r="B9" s="111" t="s">
        <v>1144</v>
      </c>
      <c r="C9" s="111">
        <v>1</v>
      </c>
      <c r="D9" s="111">
        <v>25</v>
      </c>
      <c r="E9" s="38" t="str">
        <f t="shared" ca="1" si="0"/>
        <v>17층</v>
      </c>
      <c r="F9" s="7"/>
      <c r="G9" s="2" t="s">
        <v>233</v>
      </c>
      <c r="H9" s="2" t="s">
        <v>239</v>
      </c>
      <c r="I9" s="29">
        <v>8300</v>
      </c>
      <c r="J9" s="29">
        <v>27</v>
      </c>
      <c r="K9" s="29">
        <f t="shared" si="1"/>
        <v>224100</v>
      </c>
      <c r="L9" s="7"/>
      <c r="M9" s="7"/>
      <c r="N9" s="7"/>
    </row>
    <row r="10" spans="1:14">
      <c r="A10" s="111" t="s">
        <v>1142</v>
      </c>
      <c r="B10" s="111" t="s">
        <v>1145</v>
      </c>
      <c r="C10" s="111">
        <v>1</v>
      </c>
      <c r="D10" s="111">
        <v>25</v>
      </c>
      <c r="E10" s="38" t="str">
        <f t="shared" ca="1" si="0"/>
        <v>11층</v>
      </c>
      <c r="F10" s="7"/>
      <c r="G10" s="2" t="s">
        <v>240</v>
      </c>
      <c r="H10" s="2" t="s">
        <v>241</v>
      </c>
      <c r="I10" s="29">
        <v>7200</v>
      </c>
      <c r="J10" s="29">
        <v>65</v>
      </c>
      <c r="K10" s="29">
        <f t="shared" si="1"/>
        <v>468000</v>
      </c>
      <c r="L10" s="7"/>
      <c r="M10" s="7"/>
      <c r="N10" s="7"/>
    </row>
    <row r="11" spans="1:14">
      <c r="A11" s="111" t="s">
        <v>1142</v>
      </c>
      <c r="B11" s="111" t="s">
        <v>1146</v>
      </c>
      <c r="C11" s="111">
        <v>1</v>
      </c>
      <c r="D11" s="111">
        <v>25</v>
      </c>
      <c r="E11" s="38" t="str">
        <f t="shared" ca="1" si="0"/>
        <v>15층</v>
      </c>
      <c r="F11" s="7"/>
      <c r="G11" s="2" t="s">
        <v>242</v>
      </c>
      <c r="H11" s="2" t="s">
        <v>243</v>
      </c>
      <c r="I11" s="29">
        <v>6300</v>
      </c>
      <c r="J11" s="29">
        <v>45</v>
      </c>
      <c r="K11" s="29">
        <f t="shared" si="1"/>
        <v>283500</v>
      </c>
      <c r="L11" s="7"/>
      <c r="M11" s="7"/>
      <c r="N11" s="7"/>
    </row>
    <row r="12" spans="1:14">
      <c r="A12" s="111" t="s">
        <v>1142</v>
      </c>
      <c r="B12" s="111" t="s">
        <v>1147</v>
      </c>
      <c r="C12" s="111">
        <v>1</v>
      </c>
      <c r="D12" s="111">
        <v>25</v>
      </c>
      <c r="E12" s="38" t="str">
        <f t="shared" ref="E12" ca="1" si="2">RANDBETWEEN(C12,D12)&amp;"층"</f>
        <v>5층</v>
      </c>
      <c r="F12" s="7"/>
      <c r="G12" s="122" t="s">
        <v>245</v>
      </c>
      <c r="H12" s="122"/>
      <c r="I12" s="122"/>
      <c r="J12" s="122"/>
      <c r="K12" s="33">
        <f>ROUNDUP(SUMIF(G3:G11,"음악",K3:K11),-3)</f>
        <v>1025000</v>
      </c>
      <c r="L12" s="7"/>
      <c r="M12" s="7"/>
      <c r="N12" s="7"/>
    </row>
    <row r="13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>
      <c r="A14" s="7" t="s">
        <v>246</v>
      </c>
      <c r="B14" s="31" t="s">
        <v>247</v>
      </c>
      <c r="C14" s="7"/>
      <c r="D14" s="7"/>
      <c r="E14" s="7"/>
      <c r="F14" s="7"/>
      <c r="G14" s="7" t="s">
        <v>248</v>
      </c>
      <c r="H14" s="31" t="s">
        <v>249</v>
      </c>
      <c r="I14" s="7"/>
      <c r="J14" s="7"/>
      <c r="K14" s="7"/>
      <c r="L14" s="7"/>
      <c r="M14" s="7"/>
      <c r="N14" s="7"/>
    </row>
    <row r="15" spans="1:14">
      <c r="A15" s="2" t="s">
        <v>250</v>
      </c>
      <c r="B15" s="2" t="s">
        <v>251</v>
      </c>
      <c r="C15" s="2" t="s">
        <v>252</v>
      </c>
      <c r="D15" s="2" t="s">
        <v>253</v>
      </c>
      <c r="E15" s="2" t="s">
        <v>254</v>
      </c>
      <c r="F15" s="7"/>
      <c r="G15" s="2" t="s">
        <v>255</v>
      </c>
      <c r="H15" s="2" t="s">
        <v>256</v>
      </c>
      <c r="I15" s="2" t="s">
        <v>257</v>
      </c>
      <c r="J15" s="2" t="s">
        <v>258</v>
      </c>
      <c r="K15" s="2" t="s">
        <v>259</v>
      </c>
      <c r="L15" s="7"/>
      <c r="M15" s="7"/>
      <c r="N15" s="7"/>
    </row>
    <row r="16" spans="1:14">
      <c r="A16" s="2" t="s">
        <v>260</v>
      </c>
      <c r="B16" s="2" t="s">
        <v>261</v>
      </c>
      <c r="C16" s="2" t="s">
        <v>262</v>
      </c>
      <c r="D16" s="33">
        <v>4</v>
      </c>
      <c r="E16" s="33">
        <v>1208000</v>
      </c>
      <c r="F16" s="7"/>
      <c r="G16" s="2" t="s">
        <v>263</v>
      </c>
      <c r="H16" s="2" t="s">
        <v>264</v>
      </c>
      <c r="I16" s="2" t="s">
        <v>265</v>
      </c>
      <c r="J16" s="29">
        <v>414603</v>
      </c>
      <c r="K16" s="29">
        <v>39139</v>
      </c>
      <c r="L16" s="7"/>
      <c r="M16" s="7"/>
      <c r="N16" s="7"/>
    </row>
    <row r="17" spans="1:14">
      <c r="A17" s="2" t="s">
        <v>266</v>
      </c>
      <c r="B17" s="2" t="s">
        <v>267</v>
      </c>
      <c r="C17" s="2" t="s">
        <v>268</v>
      </c>
      <c r="D17" s="33">
        <v>9</v>
      </c>
      <c r="E17" s="33">
        <v>2214000</v>
      </c>
      <c r="F17" s="7"/>
      <c r="G17" s="2" t="s">
        <v>269</v>
      </c>
      <c r="H17" s="2" t="s">
        <v>270</v>
      </c>
      <c r="I17" s="2" t="s">
        <v>271</v>
      </c>
      <c r="J17" s="29">
        <v>529541</v>
      </c>
      <c r="K17" s="29">
        <v>28880</v>
      </c>
      <c r="L17" s="7"/>
      <c r="M17" s="7"/>
      <c r="N17" s="7"/>
    </row>
    <row r="18" spans="1:14">
      <c r="A18" s="2" t="s">
        <v>272</v>
      </c>
      <c r="B18" s="2" t="s">
        <v>261</v>
      </c>
      <c r="C18" s="2" t="s">
        <v>273</v>
      </c>
      <c r="D18" s="33">
        <v>5</v>
      </c>
      <c r="E18" s="33">
        <v>1425000</v>
      </c>
      <c r="F18" s="7"/>
      <c r="G18" s="2" t="s">
        <v>274</v>
      </c>
      <c r="H18" s="2" t="s">
        <v>275</v>
      </c>
      <c r="I18" s="2" t="s">
        <v>276</v>
      </c>
      <c r="J18" s="29">
        <v>3144537</v>
      </c>
      <c r="K18" s="29">
        <v>27171</v>
      </c>
      <c r="L18" s="7"/>
      <c r="M18" s="7"/>
      <c r="N18" s="7"/>
    </row>
    <row r="19" spans="1:14">
      <c r="A19" s="2" t="s">
        <v>277</v>
      </c>
      <c r="B19" s="2" t="s">
        <v>186</v>
      </c>
      <c r="C19" s="2" t="s">
        <v>278</v>
      </c>
      <c r="D19" s="33">
        <v>1</v>
      </c>
      <c r="E19" s="33">
        <v>265000</v>
      </c>
      <c r="F19" s="7"/>
      <c r="G19" s="2" t="s">
        <v>279</v>
      </c>
      <c r="H19" s="2" t="s">
        <v>280</v>
      </c>
      <c r="I19" s="2" t="s">
        <v>276</v>
      </c>
      <c r="J19" s="29">
        <v>1363686</v>
      </c>
      <c r="K19" s="29">
        <v>19120</v>
      </c>
      <c r="L19" s="7"/>
      <c r="M19" s="7"/>
      <c r="N19" s="7"/>
    </row>
    <row r="20" spans="1:14">
      <c r="A20" s="2" t="s">
        <v>281</v>
      </c>
      <c r="B20" s="2" t="s">
        <v>261</v>
      </c>
      <c r="C20" s="2" t="s">
        <v>282</v>
      </c>
      <c r="D20" s="33">
        <v>4</v>
      </c>
      <c r="E20" s="33">
        <v>1168000</v>
      </c>
      <c r="F20" s="7"/>
      <c r="G20" s="2" t="s">
        <v>283</v>
      </c>
      <c r="H20" s="2" t="s">
        <v>284</v>
      </c>
      <c r="I20" s="2" t="s">
        <v>285</v>
      </c>
      <c r="J20" s="29">
        <v>328043</v>
      </c>
      <c r="K20" s="29">
        <v>9255</v>
      </c>
      <c r="L20" s="7"/>
      <c r="M20" s="7"/>
      <c r="N20" s="7"/>
    </row>
    <row r="21" spans="1:14">
      <c r="A21" s="2" t="s">
        <v>286</v>
      </c>
      <c r="B21" s="2" t="s">
        <v>267</v>
      </c>
      <c r="C21" s="2" t="s">
        <v>287</v>
      </c>
      <c r="D21" s="33">
        <v>5</v>
      </c>
      <c r="E21" s="33">
        <v>1500000</v>
      </c>
      <c r="F21" s="7"/>
      <c r="G21" s="2" t="s">
        <v>288</v>
      </c>
      <c r="H21" s="2" t="s">
        <v>289</v>
      </c>
      <c r="I21" s="2" t="s">
        <v>285</v>
      </c>
      <c r="J21" s="29">
        <v>5656789</v>
      </c>
      <c r="K21" s="29">
        <v>6842</v>
      </c>
      <c r="L21" s="7"/>
      <c r="M21" s="7"/>
      <c r="N21" s="7"/>
    </row>
    <row r="22" spans="1:14">
      <c r="A22" s="2" t="s">
        <v>290</v>
      </c>
      <c r="B22" s="2" t="s">
        <v>267</v>
      </c>
      <c r="C22" s="2" t="s">
        <v>268</v>
      </c>
      <c r="D22" s="33">
        <v>9</v>
      </c>
      <c r="E22" s="33">
        <v>2493000</v>
      </c>
      <c r="F22" s="7"/>
      <c r="G22" s="2" t="s">
        <v>291</v>
      </c>
      <c r="H22" s="2" t="s">
        <v>264</v>
      </c>
      <c r="I22" s="2" t="s">
        <v>292</v>
      </c>
      <c r="J22" s="29">
        <v>1578</v>
      </c>
      <c r="K22" s="29">
        <v>128</v>
      </c>
      <c r="L22" s="7"/>
      <c r="M22" s="7"/>
      <c r="N22" s="7"/>
    </row>
    <row r="23" spans="1:14">
      <c r="A23" s="2" t="s">
        <v>293</v>
      </c>
      <c r="B23" s="2" t="s">
        <v>261</v>
      </c>
      <c r="C23" s="2" t="s">
        <v>268</v>
      </c>
      <c r="D23" s="33">
        <v>4</v>
      </c>
      <c r="E23" s="33">
        <v>1020000</v>
      </c>
      <c r="F23" s="7"/>
      <c r="G23" s="2" t="s">
        <v>294</v>
      </c>
      <c r="H23" s="2" t="s">
        <v>295</v>
      </c>
      <c r="I23" s="2" t="s">
        <v>296</v>
      </c>
      <c r="J23" s="29">
        <v>298095</v>
      </c>
      <c r="K23" s="29">
        <v>1842</v>
      </c>
      <c r="L23" s="7"/>
      <c r="M23" s="7"/>
      <c r="N23" s="7"/>
    </row>
    <row r="24" spans="1:14">
      <c r="A24" s="2" t="s">
        <v>297</v>
      </c>
      <c r="B24" s="2" t="s">
        <v>267</v>
      </c>
      <c r="C24" s="2" t="s">
        <v>282</v>
      </c>
      <c r="D24" s="33">
        <v>7</v>
      </c>
      <c r="E24" s="33">
        <v>1967000</v>
      </c>
      <c r="F24" s="7"/>
      <c r="G24" s="2" t="s">
        <v>298</v>
      </c>
      <c r="H24" s="2" t="s">
        <v>299</v>
      </c>
      <c r="I24" s="2" t="s">
        <v>276</v>
      </c>
      <c r="J24" s="29">
        <v>983</v>
      </c>
      <c r="K24" s="29">
        <v>151</v>
      </c>
      <c r="L24" s="119" t="s">
        <v>300</v>
      </c>
      <c r="M24" s="120"/>
      <c r="N24" s="121"/>
    </row>
    <row r="25" spans="1:14">
      <c r="A25" s="119" t="s">
        <v>301</v>
      </c>
      <c r="B25" s="120"/>
      <c r="C25" s="120"/>
      <c r="D25" s="121"/>
      <c r="E25" s="33">
        <f>SUMIF(D16:D24,MODE(D16:D24),E16:E24)</f>
        <v>3396000</v>
      </c>
      <c r="F25" s="7"/>
      <c r="G25" s="2" t="s">
        <v>302</v>
      </c>
      <c r="H25" s="2" t="s">
        <v>264</v>
      </c>
      <c r="I25" s="2" t="s">
        <v>276</v>
      </c>
      <c r="J25" s="29">
        <v>36253</v>
      </c>
      <c r="K25" s="29">
        <v>1029</v>
      </c>
      <c r="L25" s="114" t="str">
        <f>SUMIFS(K16:K25,H16:H25,"드라마",I16:I25,"15세이상")&amp;"만원"</f>
        <v>1308만원</v>
      </c>
      <c r="M25" s="124"/>
      <c r="N25" s="115"/>
    </row>
  </sheetData>
  <mergeCells count="4">
    <mergeCell ref="G12:J12"/>
    <mergeCell ref="L24:N24"/>
    <mergeCell ref="A25:D25"/>
    <mergeCell ref="L25:N25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RowHeight="17"/>
  <cols>
    <col min="1" max="1" width="11" bestFit="1" customWidth="1"/>
    <col min="3" max="3" width="11.08203125" bestFit="1" customWidth="1"/>
    <col min="5" max="5" width="11" bestFit="1" customWidth="1"/>
    <col min="6" max="6" width="1.58203125" customWidth="1"/>
    <col min="9" max="9" width="11" bestFit="1" customWidth="1"/>
    <col min="10" max="10" width="12.33203125" bestFit="1" customWidth="1"/>
  </cols>
  <sheetData>
    <row r="1" spans="1:10">
      <c r="A1" s="26" t="s">
        <v>65</v>
      </c>
      <c r="B1" s="34"/>
      <c r="C1" s="34"/>
      <c r="D1" s="34"/>
      <c r="E1" s="26"/>
      <c r="F1" s="26"/>
      <c r="G1" s="26" t="s">
        <v>67</v>
      </c>
      <c r="H1" s="27" t="s">
        <v>303</v>
      </c>
      <c r="I1" s="26"/>
      <c r="J1" s="26"/>
    </row>
    <row r="2" spans="1:10">
      <c r="A2" s="35" t="s">
        <v>304</v>
      </c>
      <c r="B2" s="35" t="s">
        <v>177</v>
      </c>
      <c r="C2" s="35" t="s">
        <v>306</v>
      </c>
      <c r="D2" s="35" t="s">
        <v>307</v>
      </c>
      <c r="E2" s="26"/>
      <c r="F2" s="26"/>
      <c r="G2" s="5" t="s">
        <v>308</v>
      </c>
      <c r="H2" s="5" t="s">
        <v>309</v>
      </c>
      <c r="I2" s="5" t="s">
        <v>310</v>
      </c>
      <c r="J2" s="91" t="s">
        <v>311</v>
      </c>
    </row>
    <row r="3" spans="1:10">
      <c r="A3" s="35" t="s">
        <v>312</v>
      </c>
      <c r="B3" s="35" t="s">
        <v>313</v>
      </c>
      <c r="C3" s="36">
        <v>36819</v>
      </c>
      <c r="D3" s="37">
        <v>3.45</v>
      </c>
      <c r="E3" s="26"/>
      <c r="F3" s="26"/>
      <c r="G3" s="5" t="s">
        <v>314</v>
      </c>
      <c r="H3" s="5">
        <v>329</v>
      </c>
      <c r="I3" s="30">
        <v>25</v>
      </c>
      <c r="J3" s="38"/>
    </row>
    <row r="4" spans="1:10">
      <c r="A4" s="35" t="s">
        <v>315</v>
      </c>
      <c r="B4" s="35" t="s">
        <v>316</v>
      </c>
      <c r="C4" s="36">
        <v>36221</v>
      </c>
      <c r="D4" s="37">
        <v>4.0199999999999996</v>
      </c>
      <c r="E4" s="26"/>
      <c r="F4" s="26"/>
      <c r="G4" s="5" t="s">
        <v>317</v>
      </c>
      <c r="H4" s="5">
        <v>574</v>
      </c>
      <c r="I4" s="30">
        <v>45</v>
      </c>
      <c r="J4" s="38"/>
    </row>
    <row r="5" spans="1:10">
      <c r="A5" s="35" t="s">
        <v>315</v>
      </c>
      <c r="B5" s="35" t="s">
        <v>318</v>
      </c>
      <c r="C5" s="36">
        <v>36029</v>
      </c>
      <c r="D5" s="37">
        <v>3.67</v>
      </c>
      <c r="E5" s="26"/>
      <c r="F5" s="26"/>
      <c r="G5" s="5" t="s">
        <v>319</v>
      </c>
      <c r="H5" s="5">
        <v>346</v>
      </c>
      <c r="I5" s="30">
        <v>30</v>
      </c>
      <c r="J5" s="38"/>
    </row>
    <row r="6" spans="1:10">
      <c r="A6" s="35" t="s">
        <v>312</v>
      </c>
      <c r="B6" s="35" t="s">
        <v>320</v>
      </c>
      <c r="C6" s="36">
        <v>36548</v>
      </c>
      <c r="D6" s="37">
        <v>3.89</v>
      </c>
      <c r="E6" s="26"/>
      <c r="F6" s="26"/>
      <c r="G6" s="5" t="s">
        <v>321</v>
      </c>
      <c r="H6" s="5">
        <v>618</v>
      </c>
      <c r="I6" s="30">
        <v>50</v>
      </c>
      <c r="J6" s="38"/>
    </row>
    <row r="7" spans="1:10">
      <c r="A7" s="35" t="s">
        <v>322</v>
      </c>
      <c r="B7" s="35" t="s">
        <v>323</v>
      </c>
      <c r="C7" s="36">
        <v>37023</v>
      </c>
      <c r="D7" s="37">
        <v>3.12</v>
      </c>
      <c r="E7" s="26"/>
      <c r="F7" s="26"/>
      <c r="G7" s="5" t="s">
        <v>324</v>
      </c>
      <c r="H7" s="5">
        <v>485</v>
      </c>
      <c r="I7" s="5">
        <v>35</v>
      </c>
      <c r="J7" s="38"/>
    </row>
    <row r="8" spans="1:10">
      <c r="A8" s="35" t="s">
        <v>322</v>
      </c>
      <c r="B8" s="35" t="s">
        <v>325</v>
      </c>
      <c r="C8" s="36">
        <v>36346</v>
      </c>
      <c r="D8" s="37">
        <v>3.91</v>
      </c>
      <c r="E8" s="39" t="s">
        <v>101</v>
      </c>
      <c r="F8" s="26"/>
      <c r="G8" s="5" t="s">
        <v>327</v>
      </c>
      <c r="H8" s="5">
        <v>507</v>
      </c>
      <c r="I8" s="5">
        <v>35</v>
      </c>
      <c r="J8" s="38"/>
    </row>
    <row r="9" spans="1:10">
      <c r="A9" s="35" t="s">
        <v>312</v>
      </c>
      <c r="B9" s="35" t="s">
        <v>328</v>
      </c>
      <c r="C9" s="36">
        <v>36094</v>
      </c>
      <c r="D9" s="37">
        <v>4.1500000000000004</v>
      </c>
      <c r="E9" s="40"/>
      <c r="F9" s="26"/>
      <c r="G9" s="5" t="s">
        <v>329</v>
      </c>
      <c r="H9" s="5">
        <v>597</v>
      </c>
      <c r="I9" s="30">
        <v>40</v>
      </c>
      <c r="J9" s="38"/>
    </row>
    <row r="10" spans="1:10">
      <c r="A10" s="35" t="s">
        <v>315</v>
      </c>
      <c r="B10" s="35" t="s">
        <v>330</v>
      </c>
      <c r="C10" s="36">
        <v>36704</v>
      </c>
      <c r="D10" s="37">
        <v>3.52</v>
      </c>
      <c r="E10" s="41"/>
      <c r="F10" s="26"/>
      <c r="G10" s="5" t="s">
        <v>331</v>
      </c>
      <c r="H10" s="5">
        <v>605</v>
      </c>
      <c r="I10" s="30">
        <v>45</v>
      </c>
      <c r="J10" s="38"/>
    </row>
    <row r="11" spans="1:10">
      <c r="A11" s="122" t="s">
        <v>332</v>
      </c>
      <c r="B11" s="122"/>
      <c r="C11" s="122"/>
      <c r="D11" s="35"/>
      <c r="E11" s="26"/>
      <c r="F11" s="26"/>
      <c r="G11" s="5" t="s">
        <v>333</v>
      </c>
      <c r="H11" s="5">
        <v>535</v>
      </c>
      <c r="I11" s="30">
        <v>30</v>
      </c>
      <c r="J11" s="38"/>
    </row>
    <row r="12" spans="1:10">
      <c r="A12" s="26"/>
      <c r="B12" s="26"/>
      <c r="C12" s="26"/>
      <c r="D12" s="26"/>
      <c r="E12" s="26"/>
      <c r="F12" s="26"/>
      <c r="G12" s="26"/>
      <c r="H12" s="26"/>
      <c r="I12" s="26"/>
      <c r="J12" s="26"/>
    </row>
    <row r="13" spans="1:10">
      <c r="A13" s="26" t="s">
        <v>112</v>
      </c>
      <c r="B13" s="27" t="s">
        <v>335</v>
      </c>
      <c r="C13" s="26"/>
      <c r="D13" s="26"/>
      <c r="E13" s="26"/>
      <c r="F13" s="26"/>
      <c r="G13" s="26" t="s">
        <v>114</v>
      </c>
      <c r="H13" s="27" t="s">
        <v>337</v>
      </c>
      <c r="I13" s="26"/>
      <c r="J13" s="26"/>
    </row>
    <row r="14" spans="1:10">
      <c r="A14" s="86" t="s">
        <v>338</v>
      </c>
      <c r="B14" s="86" t="s">
        <v>339</v>
      </c>
      <c r="C14" s="86" t="s">
        <v>340</v>
      </c>
      <c r="D14" s="86" t="s">
        <v>341</v>
      </c>
      <c r="E14" s="91" t="s">
        <v>342</v>
      </c>
      <c r="F14" s="26"/>
      <c r="G14" s="86" t="s">
        <v>343</v>
      </c>
      <c r="H14" s="86" t="s">
        <v>344</v>
      </c>
      <c r="I14" s="86" t="s">
        <v>345</v>
      </c>
      <c r="J14" s="91" t="s">
        <v>346</v>
      </c>
    </row>
    <row r="15" spans="1:10">
      <c r="A15" s="86" t="s">
        <v>58</v>
      </c>
      <c r="B15" s="86" t="s">
        <v>347</v>
      </c>
      <c r="C15" s="42">
        <v>35000</v>
      </c>
      <c r="D15" s="42">
        <v>150000</v>
      </c>
      <c r="E15" s="42"/>
      <c r="F15" s="26"/>
      <c r="G15" s="86">
        <v>14001</v>
      </c>
      <c r="H15" s="86">
        <v>94</v>
      </c>
      <c r="I15" s="86">
        <v>92</v>
      </c>
      <c r="J15" s="86"/>
    </row>
    <row r="16" spans="1:10">
      <c r="A16" s="86" t="s">
        <v>348</v>
      </c>
      <c r="B16" s="86" t="s">
        <v>349</v>
      </c>
      <c r="C16" s="42">
        <v>32000</v>
      </c>
      <c r="D16" s="42">
        <v>170000</v>
      </c>
      <c r="E16" s="42"/>
      <c r="F16" s="26"/>
      <c r="G16" s="86">
        <v>14002</v>
      </c>
      <c r="H16" s="86">
        <v>81</v>
      </c>
      <c r="I16" s="86">
        <v>76</v>
      </c>
      <c r="J16" s="86"/>
    </row>
    <row r="17" spans="1:10">
      <c r="A17" s="86" t="s">
        <v>350</v>
      </c>
      <c r="B17" s="86" t="s">
        <v>351</v>
      </c>
      <c r="C17" s="42">
        <v>39000</v>
      </c>
      <c r="D17" s="42">
        <v>120000</v>
      </c>
      <c r="E17" s="42"/>
      <c r="F17" s="26"/>
      <c r="G17" s="86">
        <v>14003</v>
      </c>
      <c r="H17" s="86">
        <v>82</v>
      </c>
      <c r="I17" s="86">
        <v>55</v>
      </c>
      <c r="J17" s="86"/>
    </row>
    <row r="18" spans="1:10">
      <c r="A18" s="86" t="s">
        <v>352</v>
      </c>
      <c r="B18" s="86" t="s">
        <v>353</v>
      </c>
      <c r="C18" s="42">
        <v>78000</v>
      </c>
      <c r="D18" s="42">
        <v>210000</v>
      </c>
      <c r="E18" s="42"/>
      <c r="F18" s="26"/>
      <c r="G18" s="86">
        <v>14004</v>
      </c>
      <c r="H18" s="86">
        <v>80</v>
      </c>
      <c r="I18" s="86">
        <v>86</v>
      </c>
      <c r="J18" s="86"/>
    </row>
    <row r="19" spans="1:10">
      <c r="A19" s="86" t="s">
        <v>354</v>
      </c>
      <c r="B19" s="86" t="s">
        <v>355</v>
      </c>
      <c r="C19" s="42">
        <v>72000</v>
      </c>
      <c r="D19" s="42">
        <v>110000</v>
      </c>
      <c r="E19" s="42"/>
      <c r="F19" s="26"/>
      <c r="G19" s="86">
        <v>14005</v>
      </c>
      <c r="H19" s="86">
        <v>75</v>
      </c>
      <c r="I19" s="86">
        <v>79</v>
      </c>
      <c r="J19" s="86"/>
    </row>
    <row r="20" spans="1:10">
      <c r="A20" s="86" t="s">
        <v>356</v>
      </c>
      <c r="B20" s="86" t="s">
        <v>357</v>
      </c>
      <c r="C20" s="42">
        <v>68000</v>
      </c>
      <c r="D20" s="42">
        <v>150000</v>
      </c>
      <c r="E20" s="42"/>
      <c r="F20" s="26"/>
      <c r="G20" s="86">
        <v>14006</v>
      </c>
      <c r="H20" s="86">
        <v>91</v>
      </c>
      <c r="I20" s="86">
        <v>88</v>
      </c>
      <c r="J20" s="86"/>
    </row>
  </sheetData>
  <mergeCells count="1">
    <mergeCell ref="A11:C1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RowHeight="17"/>
  <cols>
    <col min="1" max="1" width="11" bestFit="1" customWidth="1"/>
    <col min="3" max="3" width="11.08203125" bestFit="1" customWidth="1"/>
    <col min="5" max="5" width="11" bestFit="1" customWidth="1"/>
    <col min="6" max="6" width="1.58203125" customWidth="1"/>
    <col min="9" max="9" width="11" bestFit="1" customWidth="1"/>
    <col min="10" max="10" width="12.33203125" bestFit="1" customWidth="1"/>
  </cols>
  <sheetData>
    <row r="1" spans="1:10">
      <c r="A1" s="26" t="s">
        <v>214</v>
      </c>
      <c r="B1" s="34"/>
      <c r="C1" s="34"/>
      <c r="D1" s="34"/>
      <c r="E1" s="26"/>
      <c r="F1" s="26"/>
      <c r="G1" s="26" t="s">
        <v>67</v>
      </c>
      <c r="H1" s="27" t="s">
        <v>303</v>
      </c>
      <c r="I1" s="26"/>
      <c r="J1" s="26"/>
    </row>
    <row r="2" spans="1:10">
      <c r="A2" s="35" t="s">
        <v>304</v>
      </c>
      <c r="B2" s="35" t="s">
        <v>305</v>
      </c>
      <c r="C2" s="35" t="s">
        <v>306</v>
      </c>
      <c r="D2" s="35" t="s">
        <v>307</v>
      </c>
      <c r="E2" s="26"/>
      <c r="F2" s="26"/>
      <c r="G2" s="5" t="s">
        <v>308</v>
      </c>
      <c r="H2" s="5" t="s">
        <v>309</v>
      </c>
      <c r="I2" s="5" t="s">
        <v>310</v>
      </c>
      <c r="J2" s="90" t="s">
        <v>311</v>
      </c>
    </row>
    <row r="3" spans="1:10">
      <c r="A3" s="35" t="s">
        <v>312</v>
      </c>
      <c r="B3" s="35" t="s">
        <v>313</v>
      </c>
      <c r="C3" s="36">
        <v>36819</v>
      </c>
      <c r="D3" s="37">
        <v>3.45</v>
      </c>
      <c r="E3" s="26"/>
      <c r="F3" s="26"/>
      <c r="G3" s="5" t="s">
        <v>314</v>
      </c>
      <c r="H3" s="5">
        <v>329</v>
      </c>
      <c r="I3" s="30">
        <v>25</v>
      </c>
      <c r="J3" s="38" t="str">
        <f>INT(H3/I3)&amp;"("&amp;MOD(H3,I3)&amp;")"</f>
        <v>13(4)</v>
      </c>
    </row>
    <row r="4" spans="1:10">
      <c r="A4" s="35" t="s">
        <v>315</v>
      </c>
      <c r="B4" s="35" t="s">
        <v>316</v>
      </c>
      <c r="C4" s="36">
        <v>36221</v>
      </c>
      <c r="D4" s="37">
        <v>4.0199999999999996</v>
      </c>
      <c r="E4" s="26"/>
      <c r="F4" s="26"/>
      <c r="G4" s="5" t="s">
        <v>317</v>
      </c>
      <c r="H4" s="5">
        <v>574</v>
      </c>
      <c r="I4" s="30">
        <v>45</v>
      </c>
      <c r="J4" s="38" t="str">
        <f t="shared" ref="J4:J11" si="0">INT(H4/I4)&amp;"("&amp;MOD(H4,I4)&amp;")"</f>
        <v>12(34)</v>
      </c>
    </row>
    <row r="5" spans="1:10">
      <c r="A5" s="35" t="s">
        <v>315</v>
      </c>
      <c r="B5" s="35" t="s">
        <v>318</v>
      </c>
      <c r="C5" s="36">
        <v>36029</v>
      </c>
      <c r="D5" s="37">
        <v>3.67</v>
      </c>
      <c r="E5" s="26"/>
      <c r="F5" s="26"/>
      <c r="G5" s="5" t="s">
        <v>319</v>
      </c>
      <c r="H5" s="5">
        <v>346</v>
      </c>
      <c r="I5" s="30">
        <v>30</v>
      </c>
      <c r="J5" s="38" t="str">
        <f t="shared" si="0"/>
        <v>11(16)</v>
      </c>
    </row>
    <row r="6" spans="1:10">
      <c r="A6" s="35" t="s">
        <v>312</v>
      </c>
      <c r="B6" s="35" t="s">
        <v>320</v>
      </c>
      <c r="C6" s="36">
        <v>36548</v>
      </c>
      <c r="D6" s="37">
        <v>3.89</v>
      </c>
      <c r="E6" s="26"/>
      <c r="F6" s="26"/>
      <c r="G6" s="5" t="s">
        <v>321</v>
      </c>
      <c r="H6" s="5">
        <v>618</v>
      </c>
      <c r="I6" s="30">
        <v>50</v>
      </c>
      <c r="J6" s="38" t="str">
        <f t="shared" si="0"/>
        <v>12(18)</v>
      </c>
    </row>
    <row r="7" spans="1:10">
      <c r="A7" s="35" t="s">
        <v>322</v>
      </c>
      <c r="B7" s="35" t="s">
        <v>323</v>
      </c>
      <c r="C7" s="36">
        <v>37023</v>
      </c>
      <c r="D7" s="37">
        <v>3.12</v>
      </c>
      <c r="E7" s="26"/>
      <c r="F7" s="26"/>
      <c r="G7" s="5" t="s">
        <v>324</v>
      </c>
      <c r="H7" s="5">
        <v>485</v>
      </c>
      <c r="I7" s="5">
        <v>35</v>
      </c>
      <c r="J7" s="38" t="str">
        <f t="shared" si="0"/>
        <v>13(30)</v>
      </c>
    </row>
    <row r="8" spans="1:10">
      <c r="A8" s="35" t="s">
        <v>322</v>
      </c>
      <c r="B8" s="35" t="s">
        <v>325</v>
      </c>
      <c r="C8" s="36">
        <v>36346</v>
      </c>
      <c r="D8" s="37">
        <v>3.91</v>
      </c>
      <c r="E8" s="39" t="s">
        <v>326</v>
      </c>
      <c r="F8" s="26"/>
      <c r="G8" s="5" t="s">
        <v>327</v>
      </c>
      <c r="H8" s="5">
        <v>507</v>
      </c>
      <c r="I8" s="5">
        <v>35</v>
      </c>
      <c r="J8" s="38" t="str">
        <f t="shared" si="0"/>
        <v>14(17)</v>
      </c>
    </row>
    <row r="9" spans="1:10">
      <c r="A9" s="35" t="s">
        <v>312</v>
      </c>
      <c r="B9" s="35" t="s">
        <v>328</v>
      </c>
      <c r="C9" s="36">
        <v>36094</v>
      </c>
      <c r="D9" s="37">
        <v>4.1500000000000004</v>
      </c>
      <c r="E9" s="35" t="s">
        <v>304</v>
      </c>
      <c r="F9" s="26"/>
      <c r="G9" s="5" t="s">
        <v>329</v>
      </c>
      <c r="H9" s="5">
        <v>597</v>
      </c>
      <c r="I9" s="30">
        <v>40</v>
      </c>
      <c r="J9" s="38" t="str">
        <f t="shared" si="0"/>
        <v>14(37)</v>
      </c>
    </row>
    <row r="10" spans="1:10">
      <c r="A10" s="35" t="s">
        <v>315</v>
      </c>
      <c r="B10" s="35" t="s">
        <v>330</v>
      </c>
      <c r="C10" s="36">
        <v>36704</v>
      </c>
      <c r="D10" s="37">
        <v>3.52</v>
      </c>
      <c r="E10" s="35" t="s">
        <v>322</v>
      </c>
      <c r="F10" s="26"/>
      <c r="G10" s="5" t="s">
        <v>331</v>
      </c>
      <c r="H10" s="5">
        <v>605</v>
      </c>
      <c r="I10" s="30">
        <v>45</v>
      </c>
      <c r="J10" s="38" t="str">
        <f t="shared" si="0"/>
        <v>13(20)</v>
      </c>
    </row>
    <row r="11" spans="1:10">
      <c r="A11" s="122" t="s">
        <v>332</v>
      </c>
      <c r="B11" s="122"/>
      <c r="C11" s="122"/>
      <c r="D11" s="35">
        <f>ROUND(DAVERAGE(A2:D10,D2,E9:E10),2)</f>
        <v>3.52</v>
      </c>
      <c r="E11" s="26"/>
      <c r="F11" s="26"/>
      <c r="G11" s="5" t="s">
        <v>333</v>
      </c>
      <c r="H11" s="5">
        <v>535</v>
      </c>
      <c r="I11" s="30">
        <v>30</v>
      </c>
      <c r="J11" s="38" t="str">
        <f t="shared" si="0"/>
        <v>17(25)</v>
      </c>
    </row>
    <row r="12" spans="1:10">
      <c r="A12" s="26"/>
      <c r="B12" s="26"/>
      <c r="C12" s="26"/>
      <c r="D12" s="26"/>
      <c r="E12" s="26"/>
      <c r="F12" s="26"/>
      <c r="G12" s="26"/>
      <c r="H12" s="26"/>
      <c r="I12" s="26"/>
      <c r="J12" s="26"/>
    </row>
    <row r="13" spans="1:10">
      <c r="A13" s="26" t="s">
        <v>334</v>
      </c>
      <c r="B13" s="27" t="s">
        <v>335</v>
      </c>
      <c r="C13" s="26"/>
      <c r="D13" s="26"/>
      <c r="E13" s="26"/>
      <c r="F13" s="26"/>
      <c r="G13" s="26" t="s">
        <v>336</v>
      </c>
      <c r="H13" s="27" t="s">
        <v>337</v>
      </c>
      <c r="I13" s="26"/>
      <c r="J13" s="26"/>
    </row>
    <row r="14" spans="1:10">
      <c r="A14" s="2" t="s">
        <v>338</v>
      </c>
      <c r="B14" s="2" t="s">
        <v>339</v>
      </c>
      <c r="C14" s="2" t="s">
        <v>340</v>
      </c>
      <c r="D14" s="2" t="s">
        <v>341</v>
      </c>
      <c r="E14" s="90" t="s">
        <v>342</v>
      </c>
      <c r="F14" s="26"/>
      <c r="G14" s="2" t="s">
        <v>343</v>
      </c>
      <c r="H14" s="2" t="s">
        <v>344</v>
      </c>
      <c r="I14" s="2" t="s">
        <v>345</v>
      </c>
      <c r="J14" s="90" t="s">
        <v>346</v>
      </c>
    </row>
    <row r="15" spans="1:10">
      <c r="A15" s="2" t="s">
        <v>58</v>
      </c>
      <c r="B15" s="2" t="s">
        <v>347</v>
      </c>
      <c r="C15" s="42">
        <v>35000</v>
      </c>
      <c r="D15" s="42">
        <v>150000</v>
      </c>
      <c r="E15" s="42">
        <f>ROUNDDOWN(SUM(C15:D15),-4)</f>
        <v>180000</v>
      </c>
      <c r="F15" s="26"/>
      <c r="G15" s="2">
        <v>14001</v>
      </c>
      <c r="H15" s="2">
        <v>94</v>
      </c>
      <c r="I15" s="2">
        <v>92</v>
      </c>
      <c r="J15" s="2">
        <f>ABS(H15-I15)</f>
        <v>2</v>
      </c>
    </row>
    <row r="16" spans="1:10">
      <c r="A16" s="2" t="s">
        <v>348</v>
      </c>
      <c r="B16" s="2" t="s">
        <v>349</v>
      </c>
      <c r="C16" s="42">
        <v>32000</v>
      </c>
      <c r="D16" s="42">
        <v>170000</v>
      </c>
      <c r="E16" s="42">
        <f t="shared" ref="E16:E20" si="1">ROUNDDOWN(SUM(C16:D16),-4)</f>
        <v>200000</v>
      </c>
      <c r="F16" s="26"/>
      <c r="G16" s="2">
        <v>14002</v>
      </c>
      <c r="H16" s="2">
        <v>81</v>
      </c>
      <c r="I16" s="2">
        <v>76</v>
      </c>
      <c r="J16" s="86">
        <f t="shared" ref="J16:J20" si="2">ABS(H16-I16)</f>
        <v>5</v>
      </c>
    </row>
    <row r="17" spans="1:10">
      <c r="A17" s="2" t="s">
        <v>350</v>
      </c>
      <c r="B17" s="2" t="s">
        <v>351</v>
      </c>
      <c r="C17" s="42">
        <v>39000</v>
      </c>
      <c r="D17" s="42">
        <v>120000</v>
      </c>
      <c r="E17" s="42">
        <f t="shared" si="1"/>
        <v>150000</v>
      </c>
      <c r="F17" s="26"/>
      <c r="G17" s="2">
        <v>14003</v>
      </c>
      <c r="H17" s="2">
        <v>82</v>
      </c>
      <c r="I17" s="2">
        <v>55</v>
      </c>
      <c r="J17" s="86">
        <f t="shared" si="2"/>
        <v>27</v>
      </c>
    </row>
    <row r="18" spans="1:10">
      <c r="A18" s="2" t="s">
        <v>352</v>
      </c>
      <c r="B18" s="2" t="s">
        <v>353</v>
      </c>
      <c r="C18" s="42">
        <v>78000</v>
      </c>
      <c r="D18" s="42">
        <v>210000</v>
      </c>
      <c r="E18" s="42">
        <f t="shared" si="1"/>
        <v>280000</v>
      </c>
      <c r="F18" s="26"/>
      <c r="G18" s="2">
        <v>14004</v>
      </c>
      <c r="H18" s="2">
        <v>80</v>
      </c>
      <c r="I18" s="2">
        <v>86</v>
      </c>
      <c r="J18" s="86">
        <f t="shared" si="2"/>
        <v>6</v>
      </c>
    </row>
    <row r="19" spans="1:10">
      <c r="A19" s="2" t="s">
        <v>354</v>
      </c>
      <c r="B19" s="2" t="s">
        <v>355</v>
      </c>
      <c r="C19" s="42">
        <v>72000</v>
      </c>
      <c r="D19" s="42">
        <v>110000</v>
      </c>
      <c r="E19" s="42">
        <f t="shared" si="1"/>
        <v>180000</v>
      </c>
      <c r="F19" s="26"/>
      <c r="G19" s="2">
        <v>14005</v>
      </c>
      <c r="H19" s="2">
        <v>75</v>
      </c>
      <c r="I19" s="2">
        <v>79</v>
      </c>
      <c r="J19" s="86">
        <f t="shared" si="2"/>
        <v>4</v>
      </c>
    </row>
    <row r="20" spans="1:10">
      <c r="A20" s="2" t="s">
        <v>356</v>
      </c>
      <c r="B20" s="2" t="s">
        <v>357</v>
      </c>
      <c r="C20" s="42">
        <v>68000</v>
      </c>
      <c r="D20" s="42">
        <v>150000</v>
      </c>
      <c r="E20" s="42">
        <f t="shared" si="1"/>
        <v>210000</v>
      </c>
      <c r="F20" s="26"/>
      <c r="G20" s="2">
        <v>14006</v>
      </c>
      <c r="H20" s="2">
        <v>91</v>
      </c>
      <c r="I20" s="2">
        <v>88</v>
      </c>
      <c r="J20" s="86">
        <f t="shared" si="2"/>
        <v>3</v>
      </c>
    </row>
  </sheetData>
  <mergeCells count="1">
    <mergeCell ref="A11:C1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/>
  </sheetViews>
  <sheetFormatPr defaultRowHeight="17"/>
  <cols>
    <col min="4" max="5" width="10.83203125" bestFit="1" customWidth="1"/>
    <col min="8" max="8" width="16.75" bestFit="1" customWidth="1"/>
    <col min="10" max="10" width="11.5" customWidth="1"/>
    <col min="11" max="11" width="10.58203125" customWidth="1"/>
  </cols>
  <sheetData>
    <row r="1" spans="1:11">
      <c r="A1" s="26" t="s">
        <v>65</v>
      </c>
      <c r="B1" s="27" t="s">
        <v>358</v>
      </c>
      <c r="C1" s="26"/>
      <c r="D1" s="26"/>
      <c r="E1" s="26"/>
      <c r="F1" s="26"/>
      <c r="G1" s="26" t="s">
        <v>67</v>
      </c>
      <c r="H1" s="27" t="s">
        <v>359</v>
      </c>
      <c r="I1" s="34"/>
      <c r="J1" s="43"/>
      <c r="K1" s="26"/>
    </row>
    <row r="2" spans="1:11">
      <c r="A2" s="86" t="s">
        <v>177</v>
      </c>
      <c r="B2" s="86" t="s">
        <v>116</v>
      </c>
      <c r="C2" s="86" t="s">
        <v>217</v>
      </c>
      <c r="D2" s="26"/>
      <c r="E2" s="26"/>
      <c r="F2" s="26"/>
      <c r="G2" s="35" t="s">
        <v>363</v>
      </c>
      <c r="H2" s="35" t="s">
        <v>364</v>
      </c>
      <c r="I2" s="35" t="s">
        <v>365</v>
      </c>
      <c r="J2" s="35" t="s">
        <v>366</v>
      </c>
      <c r="K2" s="26"/>
    </row>
    <row r="3" spans="1:11">
      <c r="A3" s="86" t="s">
        <v>367</v>
      </c>
      <c r="B3" s="86" t="s">
        <v>368</v>
      </c>
      <c r="C3" s="86" t="s">
        <v>369</v>
      </c>
      <c r="D3" s="26"/>
      <c r="E3" s="26"/>
      <c r="F3" s="26"/>
      <c r="G3" s="35" t="s">
        <v>313</v>
      </c>
      <c r="H3" s="28">
        <v>75</v>
      </c>
      <c r="I3" s="28">
        <v>85</v>
      </c>
      <c r="J3" s="28">
        <v>98</v>
      </c>
      <c r="K3" s="26"/>
    </row>
    <row r="4" spans="1:11">
      <c r="A4" s="86" t="s">
        <v>371</v>
      </c>
      <c r="B4" s="86" t="s">
        <v>368</v>
      </c>
      <c r="C4" s="86" t="s">
        <v>232</v>
      </c>
      <c r="D4" s="26"/>
      <c r="E4" s="26"/>
      <c r="F4" s="26"/>
      <c r="G4" s="35" t="s">
        <v>316</v>
      </c>
      <c r="H4" s="28">
        <v>68</v>
      </c>
      <c r="I4" s="28">
        <v>86</v>
      </c>
      <c r="J4" s="28">
        <v>88</v>
      </c>
      <c r="K4" s="26"/>
    </row>
    <row r="5" spans="1:11">
      <c r="A5" s="86" t="s">
        <v>375</v>
      </c>
      <c r="B5" s="86" t="s">
        <v>368</v>
      </c>
      <c r="C5" s="86" t="s">
        <v>238</v>
      </c>
      <c r="D5" s="26"/>
      <c r="E5" s="26"/>
      <c r="F5" s="26"/>
      <c r="G5" s="35" t="s">
        <v>318</v>
      </c>
      <c r="H5" s="28">
        <v>78</v>
      </c>
      <c r="I5" s="28">
        <v>80</v>
      </c>
      <c r="J5" s="28">
        <v>90</v>
      </c>
      <c r="K5" s="26"/>
    </row>
    <row r="6" spans="1:11">
      <c r="A6" s="86" t="s">
        <v>377</v>
      </c>
      <c r="B6" s="86" t="s">
        <v>378</v>
      </c>
      <c r="C6" s="86" t="s">
        <v>369</v>
      </c>
      <c r="D6" s="26"/>
      <c r="E6" s="26"/>
      <c r="F6" s="26"/>
      <c r="G6" s="35" t="s">
        <v>320</v>
      </c>
      <c r="H6" s="28">
        <v>63</v>
      </c>
      <c r="I6" s="28">
        <v>79</v>
      </c>
      <c r="J6" s="28">
        <v>99</v>
      </c>
      <c r="K6" s="26"/>
    </row>
    <row r="7" spans="1:11">
      <c r="A7" s="86" t="s">
        <v>380</v>
      </c>
      <c r="B7" s="86" t="s">
        <v>378</v>
      </c>
      <c r="C7" s="86" t="s">
        <v>232</v>
      </c>
      <c r="D7" s="26"/>
      <c r="E7" s="26"/>
      <c r="F7" s="26"/>
      <c r="G7" s="35" t="s">
        <v>323</v>
      </c>
      <c r="H7" s="28">
        <v>83</v>
      </c>
      <c r="I7" s="28">
        <v>85</v>
      </c>
      <c r="J7" s="28">
        <v>97</v>
      </c>
      <c r="K7" s="26"/>
    </row>
    <row r="8" spans="1:11">
      <c r="A8" s="86" t="s">
        <v>384</v>
      </c>
      <c r="B8" s="86" t="s">
        <v>378</v>
      </c>
      <c r="C8" s="86" t="s">
        <v>238</v>
      </c>
      <c r="D8" s="26"/>
      <c r="E8" s="26"/>
      <c r="F8" s="26"/>
      <c r="G8" s="35" t="s">
        <v>325</v>
      </c>
      <c r="H8" s="28">
        <v>65</v>
      </c>
      <c r="I8" s="28">
        <v>77</v>
      </c>
      <c r="J8" s="28">
        <v>98</v>
      </c>
      <c r="K8" s="26"/>
    </row>
    <row r="9" spans="1:11">
      <c r="A9" s="86" t="s">
        <v>387</v>
      </c>
      <c r="B9" s="86" t="s">
        <v>388</v>
      </c>
      <c r="C9" s="86" t="s">
        <v>224</v>
      </c>
      <c r="D9" s="26"/>
      <c r="E9" s="26"/>
      <c r="F9" s="26"/>
      <c r="G9" s="35" t="s">
        <v>328</v>
      </c>
      <c r="H9" s="28">
        <v>105</v>
      </c>
      <c r="I9" s="28">
        <v>99</v>
      </c>
      <c r="J9" s="28">
        <v>89</v>
      </c>
      <c r="K9" s="26"/>
    </row>
    <row r="10" spans="1:11">
      <c r="A10" s="86" t="s">
        <v>391</v>
      </c>
      <c r="B10" s="86" t="s">
        <v>388</v>
      </c>
      <c r="C10" s="86" t="s">
        <v>232</v>
      </c>
      <c r="D10" s="122" t="s">
        <v>393</v>
      </c>
      <c r="E10" s="122"/>
      <c r="F10" s="26"/>
      <c r="G10" s="26"/>
      <c r="H10" s="26"/>
      <c r="I10" s="26"/>
      <c r="J10" s="26"/>
      <c r="K10" s="26"/>
    </row>
    <row r="11" spans="1:11">
      <c r="A11" s="86" t="s">
        <v>394</v>
      </c>
      <c r="B11" s="86" t="s">
        <v>388</v>
      </c>
      <c r="C11" s="86" t="s">
        <v>238</v>
      </c>
      <c r="D11" s="113"/>
      <c r="E11" s="113"/>
      <c r="F11" s="26"/>
      <c r="G11" s="119" t="s">
        <v>397</v>
      </c>
      <c r="H11" s="120"/>
      <c r="I11" s="120"/>
      <c r="J11" s="44"/>
      <c r="K11" s="26"/>
    </row>
    <row r="12" spans="1:11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1">
      <c r="A13" s="26" t="s">
        <v>112</v>
      </c>
      <c r="B13" s="27" t="s">
        <v>398</v>
      </c>
      <c r="C13" s="45"/>
      <c r="D13" s="45"/>
      <c r="E13" s="45"/>
      <c r="F13" s="26"/>
      <c r="G13" s="26" t="s">
        <v>114</v>
      </c>
      <c r="H13" s="27" t="s">
        <v>399</v>
      </c>
      <c r="I13" s="26"/>
      <c r="J13" s="26"/>
      <c r="K13" s="26"/>
    </row>
    <row r="14" spans="1:11">
      <c r="A14" s="86" t="s">
        <v>400</v>
      </c>
      <c r="B14" s="86" t="s">
        <v>401</v>
      </c>
      <c r="C14" s="86" t="s">
        <v>402</v>
      </c>
      <c r="D14" s="86" t="s">
        <v>219</v>
      </c>
      <c r="E14" s="46" t="s">
        <v>404</v>
      </c>
      <c r="F14" s="26"/>
      <c r="G14" s="86" t="s">
        <v>405</v>
      </c>
      <c r="H14" s="86" t="s">
        <v>406</v>
      </c>
      <c r="I14" s="86" t="s">
        <v>407</v>
      </c>
      <c r="J14" s="86" t="s">
        <v>408</v>
      </c>
      <c r="K14" s="86" t="s">
        <v>409</v>
      </c>
    </row>
    <row r="15" spans="1:11">
      <c r="A15" s="86" t="s">
        <v>410</v>
      </c>
      <c r="B15" s="86" t="s">
        <v>411</v>
      </c>
      <c r="C15" s="86" t="s">
        <v>412</v>
      </c>
      <c r="D15" s="88">
        <v>3560000</v>
      </c>
      <c r="E15" s="28">
        <v>2812000</v>
      </c>
      <c r="F15" s="26"/>
      <c r="G15" s="86" t="s">
        <v>413</v>
      </c>
      <c r="H15" s="86">
        <v>165</v>
      </c>
      <c r="I15" s="86">
        <v>45</v>
      </c>
      <c r="J15" s="86">
        <v>9</v>
      </c>
      <c r="K15" s="86">
        <v>120</v>
      </c>
    </row>
    <row r="16" spans="1:11">
      <c r="A16" s="86" t="s">
        <v>414</v>
      </c>
      <c r="B16" s="86" t="s">
        <v>415</v>
      </c>
      <c r="C16" s="86" t="s">
        <v>416</v>
      </c>
      <c r="D16" s="88">
        <v>3256000</v>
      </c>
      <c r="E16" s="28">
        <v>2126000</v>
      </c>
      <c r="F16" s="26"/>
      <c r="G16" s="86" t="s">
        <v>417</v>
      </c>
      <c r="H16" s="86">
        <v>148</v>
      </c>
      <c r="I16" s="86">
        <v>12</v>
      </c>
      <c r="J16" s="86">
        <v>35</v>
      </c>
      <c r="K16" s="86">
        <v>94</v>
      </c>
    </row>
    <row r="17" spans="1:11">
      <c r="A17" s="86" t="s">
        <v>418</v>
      </c>
      <c r="B17" s="86" t="s">
        <v>419</v>
      </c>
      <c r="C17" s="86" t="s">
        <v>420</v>
      </c>
      <c r="D17" s="88">
        <v>2560000</v>
      </c>
      <c r="E17" s="28">
        <v>1582000</v>
      </c>
      <c r="F17" s="26"/>
      <c r="G17" s="86" t="s">
        <v>421</v>
      </c>
      <c r="H17" s="86">
        <v>117</v>
      </c>
      <c r="I17" s="86">
        <v>48</v>
      </c>
      <c r="J17" s="86">
        <v>12</v>
      </c>
      <c r="K17" s="86">
        <v>106</v>
      </c>
    </row>
    <row r="18" spans="1:11">
      <c r="A18" s="86" t="s">
        <v>422</v>
      </c>
      <c r="B18" s="86" t="s">
        <v>415</v>
      </c>
      <c r="C18" s="86" t="s">
        <v>423</v>
      </c>
      <c r="D18" s="88">
        <v>3075000</v>
      </c>
      <c r="E18" s="28">
        <v>1868000</v>
      </c>
      <c r="F18" s="26"/>
      <c r="G18" s="86" t="s">
        <v>424</v>
      </c>
      <c r="H18" s="86">
        <v>135</v>
      </c>
      <c r="I18" s="86">
        <v>19</v>
      </c>
      <c r="J18" s="86">
        <v>42</v>
      </c>
      <c r="K18" s="86">
        <v>97</v>
      </c>
    </row>
    <row r="19" spans="1:11">
      <c r="A19" s="86" t="s">
        <v>425</v>
      </c>
      <c r="B19" s="86" t="s">
        <v>415</v>
      </c>
      <c r="C19" s="86" t="s">
        <v>426</v>
      </c>
      <c r="D19" s="88">
        <v>2856000</v>
      </c>
      <c r="E19" s="28">
        <v>1540000</v>
      </c>
      <c r="F19" s="26"/>
      <c r="G19" s="86" t="s">
        <v>427</v>
      </c>
      <c r="H19" s="86">
        <v>142</v>
      </c>
      <c r="I19" s="86">
        <v>51</v>
      </c>
      <c r="J19" s="86">
        <v>11</v>
      </c>
      <c r="K19" s="86">
        <v>114</v>
      </c>
    </row>
    <row r="20" spans="1:11">
      <c r="A20" s="86" t="s">
        <v>428</v>
      </c>
      <c r="B20" s="86" t="s">
        <v>411</v>
      </c>
      <c r="C20" s="86" t="s">
        <v>420</v>
      </c>
      <c r="D20" s="88">
        <v>2473000</v>
      </c>
      <c r="E20" s="28">
        <v>1495000</v>
      </c>
      <c r="F20" s="26"/>
      <c r="G20" s="86" t="s">
        <v>429</v>
      </c>
      <c r="H20" s="86">
        <v>135</v>
      </c>
      <c r="I20" s="86">
        <v>49</v>
      </c>
      <c r="J20" s="86">
        <v>16</v>
      </c>
      <c r="K20" s="86">
        <v>108</v>
      </c>
    </row>
    <row r="21" spans="1:11">
      <c r="A21" s="86" t="s">
        <v>430</v>
      </c>
      <c r="B21" s="86" t="s">
        <v>419</v>
      </c>
      <c r="C21" s="86" t="s">
        <v>420</v>
      </c>
      <c r="D21" s="88">
        <v>2372000</v>
      </c>
      <c r="E21" s="28">
        <v>1453000</v>
      </c>
      <c r="F21" s="26"/>
      <c r="G21" s="86" t="s">
        <v>431</v>
      </c>
      <c r="H21" s="86">
        <v>145</v>
      </c>
      <c r="I21" s="86">
        <v>29</v>
      </c>
      <c r="J21" s="86">
        <v>21</v>
      </c>
      <c r="K21" s="86">
        <v>84</v>
      </c>
    </row>
    <row r="22" spans="1:11">
      <c r="A22" s="86" t="s">
        <v>432</v>
      </c>
      <c r="B22" s="86" t="s">
        <v>411</v>
      </c>
      <c r="C22" s="86" t="s">
        <v>426</v>
      </c>
      <c r="D22" s="88">
        <v>2903000</v>
      </c>
      <c r="E22" s="28">
        <v>1500000</v>
      </c>
      <c r="F22" s="26"/>
      <c r="G22" s="86" t="s">
        <v>433</v>
      </c>
      <c r="H22" s="86">
        <v>135</v>
      </c>
      <c r="I22" s="86">
        <v>22</v>
      </c>
      <c r="J22" s="86">
        <v>10</v>
      </c>
      <c r="K22" s="86">
        <v>106</v>
      </c>
    </row>
    <row r="23" spans="1:11">
      <c r="A23" s="45"/>
      <c r="B23" s="45"/>
      <c r="C23" s="45"/>
      <c r="D23" s="45"/>
      <c r="E23" s="45"/>
      <c r="F23" s="26"/>
      <c r="G23" s="86" t="s">
        <v>434</v>
      </c>
      <c r="H23" s="86">
        <v>185</v>
      </c>
      <c r="I23" s="86">
        <v>16</v>
      </c>
      <c r="J23" s="86">
        <v>24</v>
      </c>
      <c r="K23" s="86">
        <v>113</v>
      </c>
    </row>
    <row r="24" spans="1:11">
      <c r="A24" s="127" t="s">
        <v>435</v>
      </c>
      <c r="B24" s="128"/>
      <c r="C24" s="128"/>
      <c r="D24" s="129"/>
      <c r="E24" s="133"/>
      <c r="F24" s="26"/>
      <c r="G24" s="119" t="s">
        <v>436</v>
      </c>
      <c r="H24" s="120"/>
      <c r="I24" s="120"/>
      <c r="J24" s="121"/>
      <c r="K24" s="86"/>
    </row>
    <row r="25" spans="1:11">
      <c r="A25" s="130"/>
      <c r="B25" s="131"/>
      <c r="C25" s="131"/>
      <c r="D25" s="132"/>
      <c r="E25" s="133"/>
      <c r="F25" s="26"/>
      <c r="G25" s="26"/>
      <c r="H25" s="26"/>
      <c r="I25" s="26"/>
      <c r="J25" s="26"/>
      <c r="K25" s="26"/>
    </row>
    <row r="26" spans="1:1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</row>
    <row r="27" spans="1:11">
      <c r="A27" s="26" t="s">
        <v>169</v>
      </c>
      <c r="B27" s="27" t="s">
        <v>438</v>
      </c>
      <c r="C27" s="26"/>
      <c r="D27" s="26"/>
      <c r="E27" s="26"/>
      <c r="F27" s="26"/>
      <c r="G27" s="47" t="s">
        <v>171</v>
      </c>
      <c r="H27" s="48" t="s">
        <v>440</v>
      </c>
      <c r="I27" s="48"/>
      <c r="J27" s="47"/>
      <c r="K27" s="26"/>
    </row>
    <row r="28" spans="1:11">
      <c r="A28" s="86" t="s">
        <v>441</v>
      </c>
      <c r="B28" s="86" t="s">
        <v>442</v>
      </c>
      <c r="C28" s="86" t="s">
        <v>443</v>
      </c>
      <c r="D28" s="86" t="s">
        <v>444</v>
      </c>
      <c r="E28" s="125" t="s">
        <v>445</v>
      </c>
      <c r="F28" s="26"/>
      <c r="G28" s="5" t="s">
        <v>177</v>
      </c>
      <c r="H28" s="5" t="s">
        <v>174</v>
      </c>
      <c r="I28" s="5" t="s">
        <v>447</v>
      </c>
      <c r="J28" s="92" t="s">
        <v>448</v>
      </c>
      <c r="K28" s="26"/>
    </row>
    <row r="29" spans="1:11">
      <c r="A29" s="86" t="s">
        <v>449</v>
      </c>
      <c r="B29" s="86">
        <v>5535</v>
      </c>
      <c r="C29" s="86">
        <v>6021</v>
      </c>
      <c r="D29" s="86">
        <v>4831</v>
      </c>
      <c r="E29" s="126"/>
      <c r="F29" s="26"/>
      <c r="G29" s="5" t="s">
        <v>450</v>
      </c>
      <c r="H29" s="5" t="s">
        <v>188</v>
      </c>
      <c r="I29" s="5">
        <v>87</v>
      </c>
      <c r="J29" s="5"/>
      <c r="K29" s="26"/>
    </row>
    <row r="30" spans="1:11">
      <c r="A30" s="86" t="s">
        <v>452</v>
      </c>
      <c r="B30" s="86">
        <v>5468</v>
      </c>
      <c r="C30" s="86">
        <v>6871</v>
      </c>
      <c r="D30" s="86">
        <v>5001</v>
      </c>
      <c r="E30" s="44"/>
      <c r="F30" s="26"/>
      <c r="G30" s="5" t="s">
        <v>453</v>
      </c>
      <c r="H30" s="5" t="s">
        <v>183</v>
      </c>
      <c r="I30" s="5">
        <v>95</v>
      </c>
      <c r="J30" s="47"/>
      <c r="K30" s="26"/>
    </row>
    <row r="31" spans="1:11">
      <c r="A31" s="86" t="s">
        <v>455</v>
      </c>
      <c r="B31" s="86">
        <v>5724</v>
      </c>
      <c r="C31" s="86">
        <v>6278</v>
      </c>
      <c r="D31" s="86">
        <v>4835</v>
      </c>
      <c r="E31" s="26"/>
      <c r="F31" s="26"/>
      <c r="G31" s="5" t="s">
        <v>456</v>
      </c>
      <c r="H31" s="5" t="s">
        <v>183</v>
      </c>
      <c r="I31" s="5">
        <v>87</v>
      </c>
      <c r="J31" s="47"/>
      <c r="K31" s="26"/>
    </row>
    <row r="32" spans="1:11">
      <c r="A32" s="86" t="s">
        <v>457</v>
      </c>
      <c r="B32" s="86">
        <v>5689</v>
      </c>
      <c r="C32" s="86">
        <v>6389</v>
      </c>
      <c r="D32" s="86">
        <v>4297</v>
      </c>
      <c r="E32" s="26"/>
      <c r="F32" s="26"/>
      <c r="G32" s="5" t="s">
        <v>458</v>
      </c>
      <c r="H32" s="5" t="s">
        <v>188</v>
      </c>
      <c r="I32" s="5">
        <v>99</v>
      </c>
      <c r="J32" s="47"/>
      <c r="K32" s="26"/>
    </row>
    <row r="33" spans="1:11">
      <c r="A33" s="86" t="s">
        <v>459</v>
      </c>
      <c r="B33" s="86">
        <v>5179</v>
      </c>
      <c r="C33" s="86">
        <v>6172</v>
      </c>
      <c r="D33" s="86">
        <v>5017</v>
      </c>
      <c r="E33" s="26"/>
      <c r="F33" s="26"/>
      <c r="G33" s="5" t="s">
        <v>460</v>
      </c>
      <c r="H33" s="5" t="s">
        <v>183</v>
      </c>
      <c r="I33" s="5">
        <v>84</v>
      </c>
      <c r="J33" s="47"/>
      <c r="K33" s="26"/>
    </row>
    <row r="34" spans="1:11">
      <c r="A34" s="86" t="s">
        <v>462</v>
      </c>
      <c r="B34" s="86">
        <v>5348</v>
      </c>
      <c r="C34" s="86">
        <v>6008</v>
      </c>
      <c r="D34" s="86">
        <v>4983</v>
      </c>
      <c r="E34" s="26"/>
      <c r="F34" s="26"/>
      <c r="G34" s="5" t="s">
        <v>463</v>
      </c>
      <c r="H34" s="5" t="s">
        <v>188</v>
      </c>
      <c r="I34" s="5">
        <v>95</v>
      </c>
      <c r="J34" s="47"/>
      <c r="K34" s="26"/>
    </row>
    <row r="35" spans="1:11">
      <c r="A35" s="86" t="s">
        <v>464</v>
      </c>
      <c r="B35" s="86">
        <v>5493</v>
      </c>
      <c r="C35" s="86">
        <v>6217</v>
      </c>
      <c r="D35" s="86">
        <v>4998</v>
      </c>
      <c r="E35" s="26"/>
      <c r="F35" s="26"/>
      <c r="G35" s="5" t="s">
        <v>465</v>
      </c>
      <c r="H35" s="5" t="s">
        <v>183</v>
      </c>
      <c r="I35" s="5">
        <v>68</v>
      </c>
      <c r="J35" s="47"/>
      <c r="K35" s="26"/>
    </row>
    <row r="36" spans="1:11">
      <c r="A36" s="86" t="s">
        <v>467</v>
      </c>
      <c r="B36" s="86">
        <v>5157</v>
      </c>
      <c r="C36" s="86">
        <v>6397</v>
      </c>
      <c r="D36" s="86">
        <v>4328</v>
      </c>
      <c r="E36" s="26"/>
      <c r="F36" s="26"/>
      <c r="G36" s="5" t="s">
        <v>330</v>
      </c>
      <c r="H36" s="5" t="s">
        <v>188</v>
      </c>
      <c r="I36" s="5">
        <v>78</v>
      </c>
      <c r="J36" s="47"/>
      <c r="K36" s="26"/>
    </row>
    <row r="37" spans="1:11">
      <c r="A37" s="86" t="s">
        <v>469</v>
      </c>
      <c r="B37" s="86">
        <v>5537</v>
      </c>
      <c r="C37" s="86">
        <v>6284</v>
      </c>
      <c r="D37" s="86">
        <v>4682</v>
      </c>
      <c r="E37" s="26"/>
      <c r="F37" s="26"/>
      <c r="G37" s="5" t="s">
        <v>470</v>
      </c>
      <c r="H37" s="5" t="s">
        <v>188</v>
      </c>
      <c r="I37" s="5">
        <v>82</v>
      </c>
      <c r="J37" s="47"/>
      <c r="K37" s="26"/>
    </row>
    <row r="38" spans="1:11">
      <c r="A38" s="86" t="s">
        <v>471</v>
      </c>
      <c r="B38" s="86">
        <v>5399</v>
      </c>
      <c r="C38" s="86">
        <v>6316</v>
      </c>
      <c r="D38" s="86">
        <v>4179</v>
      </c>
      <c r="E38" s="26"/>
      <c r="F38" s="26"/>
      <c r="G38" s="5" t="s">
        <v>472</v>
      </c>
      <c r="H38" s="5" t="s">
        <v>183</v>
      </c>
      <c r="I38" s="5">
        <v>67</v>
      </c>
      <c r="J38" s="47"/>
      <c r="K38" s="26"/>
    </row>
  </sheetData>
  <mergeCells count="7">
    <mergeCell ref="E28:E29"/>
    <mergeCell ref="D10:E10"/>
    <mergeCell ref="D11:E11"/>
    <mergeCell ref="G11:I11"/>
    <mergeCell ref="A24:D25"/>
    <mergeCell ref="E24:E25"/>
    <mergeCell ref="G24:J24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/>
  </sheetViews>
  <sheetFormatPr defaultRowHeight="17"/>
  <cols>
    <col min="4" max="5" width="10.83203125" bestFit="1" customWidth="1"/>
    <col min="8" max="8" width="16.75" bestFit="1" customWidth="1"/>
    <col min="10" max="10" width="11.5" customWidth="1"/>
    <col min="11" max="11" width="10.58203125" customWidth="1"/>
  </cols>
  <sheetData>
    <row r="1" spans="1:11">
      <c r="A1" s="26" t="s">
        <v>214</v>
      </c>
      <c r="B1" s="27" t="s">
        <v>358</v>
      </c>
      <c r="C1" s="26"/>
      <c r="D1" s="26"/>
      <c r="E1" s="26"/>
      <c r="F1" s="26"/>
      <c r="G1" s="26" t="s">
        <v>67</v>
      </c>
      <c r="H1" s="27" t="s">
        <v>359</v>
      </c>
      <c r="I1" s="34"/>
      <c r="J1" s="43"/>
      <c r="K1" s="26"/>
    </row>
    <row r="2" spans="1:11">
      <c r="A2" s="2" t="s">
        <v>360</v>
      </c>
      <c r="B2" s="2" t="s">
        <v>361</v>
      </c>
      <c r="C2" s="2" t="s">
        <v>362</v>
      </c>
      <c r="D2" s="26"/>
      <c r="E2" s="26"/>
      <c r="F2" s="26"/>
      <c r="G2" s="35" t="s">
        <v>363</v>
      </c>
      <c r="H2" s="35" t="s">
        <v>364</v>
      </c>
      <c r="I2" s="35" t="s">
        <v>365</v>
      </c>
      <c r="J2" s="35" t="s">
        <v>366</v>
      </c>
      <c r="K2" s="26"/>
    </row>
    <row r="3" spans="1:11">
      <c r="A3" s="2" t="s">
        <v>367</v>
      </c>
      <c r="B3" s="2" t="s">
        <v>368</v>
      </c>
      <c r="C3" s="2" t="s">
        <v>369</v>
      </c>
      <c r="D3" s="26"/>
      <c r="E3" s="26"/>
      <c r="F3" s="26"/>
      <c r="G3" s="35" t="s">
        <v>370</v>
      </c>
      <c r="H3" s="28">
        <v>75</v>
      </c>
      <c r="I3" s="28">
        <v>85</v>
      </c>
      <c r="J3" s="28">
        <v>98</v>
      </c>
      <c r="K3" s="26"/>
    </row>
    <row r="4" spans="1:11">
      <c r="A4" s="2" t="s">
        <v>371</v>
      </c>
      <c r="B4" s="2" t="s">
        <v>372</v>
      </c>
      <c r="C4" s="2" t="s">
        <v>373</v>
      </c>
      <c r="D4" s="26"/>
      <c r="E4" s="26"/>
      <c r="F4" s="26"/>
      <c r="G4" s="35" t="s">
        <v>374</v>
      </c>
      <c r="H4" s="28">
        <v>68</v>
      </c>
      <c r="I4" s="28">
        <v>86</v>
      </c>
      <c r="J4" s="28">
        <v>88</v>
      </c>
      <c r="K4" s="26"/>
    </row>
    <row r="5" spans="1:11">
      <c r="A5" s="2" t="s">
        <v>375</v>
      </c>
      <c r="B5" s="2" t="s">
        <v>372</v>
      </c>
      <c r="C5" s="2" t="s">
        <v>244</v>
      </c>
      <c r="D5" s="26"/>
      <c r="E5" s="26"/>
      <c r="F5" s="26"/>
      <c r="G5" s="35" t="s">
        <v>376</v>
      </c>
      <c r="H5" s="28">
        <v>78</v>
      </c>
      <c r="I5" s="28">
        <v>80</v>
      </c>
      <c r="J5" s="28">
        <v>90</v>
      </c>
      <c r="K5" s="26"/>
    </row>
    <row r="6" spans="1:11">
      <c r="A6" s="2" t="s">
        <v>377</v>
      </c>
      <c r="B6" s="2" t="s">
        <v>378</v>
      </c>
      <c r="C6" s="2" t="s">
        <v>369</v>
      </c>
      <c r="D6" s="26"/>
      <c r="E6" s="26"/>
      <c r="F6" s="26"/>
      <c r="G6" s="35" t="s">
        <v>379</v>
      </c>
      <c r="H6" s="28">
        <v>63</v>
      </c>
      <c r="I6" s="28">
        <v>79</v>
      </c>
      <c r="J6" s="28">
        <v>99</v>
      </c>
      <c r="K6" s="26"/>
    </row>
    <row r="7" spans="1:11">
      <c r="A7" s="2" t="s">
        <v>380</v>
      </c>
      <c r="B7" s="2" t="s">
        <v>381</v>
      </c>
      <c r="C7" s="2" t="s">
        <v>382</v>
      </c>
      <c r="D7" s="26"/>
      <c r="E7" s="26"/>
      <c r="F7" s="26"/>
      <c r="G7" s="35" t="s">
        <v>383</v>
      </c>
      <c r="H7" s="28">
        <v>83</v>
      </c>
      <c r="I7" s="28">
        <v>85</v>
      </c>
      <c r="J7" s="28">
        <v>97</v>
      </c>
      <c r="K7" s="26"/>
    </row>
    <row r="8" spans="1:11">
      <c r="A8" s="2" t="s">
        <v>384</v>
      </c>
      <c r="B8" s="2" t="s">
        <v>385</v>
      </c>
      <c r="C8" s="2" t="s">
        <v>244</v>
      </c>
      <c r="D8" s="26"/>
      <c r="E8" s="26"/>
      <c r="F8" s="26"/>
      <c r="G8" s="35" t="s">
        <v>386</v>
      </c>
      <c r="H8" s="28">
        <v>65</v>
      </c>
      <c r="I8" s="28">
        <v>77</v>
      </c>
      <c r="J8" s="28">
        <v>98</v>
      </c>
      <c r="K8" s="26"/>
    </row>
    <row r="9" spans="1:11">
      <c r="A9" s="2" t="s">
        <v>387</v>
      </c>
      <c r="B9" s="2" t="s">
        <v>388</v>
      </c>
      <c r="C9" s="2" t="s">
        <v>389</v>
      </c>
      <c r="D9" s="26"/>
      <c r="E9" s="26"/>
      <c r="F9" s="26"/>
      <c r="G9" s="35" t="s">
        <v>390</v>
      </c>
      <c r="H9" s="28">
        <v>105</v>
      </c>
      <c r="I9" s="28">
        <v>99</v>
      </c>
      <c r="J9" s="28">
        <v>89</v>
      </c>
      <c r="K9" s="26"/>
    </row>
    <row r="10" spans="1:11">
      <c r="A10" s="2" t="s">
        <v>391</v>
      </c>
      <c r="B10" s="2" t="s">
        <v>392</v>
      </c>
      <c r="C10" s="2" t="s">
        <v>236</v>
      </c>
      <c r="D10" s="122" t="s">
        <v>393</v>
      </c>
      <c r="E10" s="122"/>
      <c r="F10" s="26"/>
      <c r="G10" s="26"/>
      <c r="H10" s="26"/>
      <c r="I10" s="26"/>
      <c r="J10" s="26"/>
      <c r="K10" s="26"/>
    </row>
    <row r="11" spans="1:11">
      <c r="A11" s="2" t="s">
        <v>394</v>
      </c>
      <c r="B11" s="2" t="s">
        <v>395</v>
      </c>
      <c r="C11" s="2" t="s">
        <v>396</v>
      </c>
      <c r="D11" s="113" t="str">
        <f>COUNTIF(C3:C11,"&lt;&gt;대리")&amp;"명"</f>
        <v>6명</v>
      </c>
      <c r="E11" s="113"/>
      <c r="F11" s="26"/>
      <c r="G11" s="119" t="s">
        <v>397</v>
      </c>
      <c r="H11" s="120"/>
      <c r="I11" s="120"/>
      <c r="J11" s="44">
        <f>COUNTIFS(H3:H9,"&gt;=80",I3:I9,"&gt;=80",J3:J9,"&gt;=80")</f>
        <v>2</v>
      </c>
      <c r="K11" s="26"/>
    </row>
    <row r="12" spans="1:11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1">
      <c r="A13" s="26" t="s">
        <v>112</v>
      </c>
      <c r="B13" s="27" t="s">
        <v>398</v>
      </c>
      <c r="C13" s="45"/>
      <c r="D13" s="45"/>
      <c r="E13" s="45"/>
      <c r="F13" s="26"/>
      <c r="G13" s="26" t="s">
        <v>248</v>
      </c>
      <c r="H13" s="27" t="s">
        <v>399</v>
      </c>
      <c r="I13" s="26"/>
      <c r="J13" s="26"/>
      <c r="K13" s="26"/>
    </row>
    <row r="14" spans="1:11">
      <c r="A14" s="2" t="s">
        <v>400</v>
      </c>
      <c r="B14" s="2" t="s">
        <v>401</v>
      </c>
      <c r="C14" s="2" t="s">
        <v>402</v>
      </c>
      <c r="D14" s="2" t="s">
        <v>403</v>
      </c>
      <c r="E14" s="46" t="s">
        <v>404</v>
      </c>
      <c r="F14" s="26"/>
      <c r="G14" s="2" t="s">
        <v>405</v>
      </c>
      <c r="H14" s="2" t="s">
        <v>406</v>
      </c>
      <c r="I14" s="2" t="s">
        <v>407</v>
      </c>
      <c r="J14" s="2" t="s">
        <v>408</v>
      </c>
      <c r="K14" s="2" t="s">
        <v>409</v>
      </c>
    </row>
    <row r="15" spans="1:11">
      <c r="A15" s="2" t="s">
        <v>410</v>
      </c>
      <c r="B15" s="2" t="s">
        <v>411</v>
      </c>
      <c r="C15" s="2" t="s">
        <v>412</v>
      </c>
      <c r="D15" s="29">
        <v>3560000</v>
      </c>
      <c r="E15" s="28">
        <v>2812000</v>
      </c>
      <c r="F15" s="26"/>
      <c r="G15" s="2" t="s">
        <v>413</v>
      </c>
      <c r="H15" s="2">
        <v>165</v>
      </c>
      <c r="I15" s="2">
        <v>45</v>
      </c>
      <c r="J15" s="2">
        <v>9</v>
      </c>
      <c r="K15" s="2">
        <v>120</v>
      </c>
    </row>
    <row r="16" spans="1:11">
      <c r="A16" s="2" t="s">
        <v>414</v>
      </c>
      <c r="B16" s="2" t="s">
        <v>415</v>
      </c>
      <c r="C16" s="2" t="s">
        <v>416</v>
      </c>
      <c r="D16" s="29">
        <v>3256000</v>
      </c>
      <c r="E16" s="28">
        <v>2126000</v>
      </c>
      <c r="F16" s="26"/>
      <c r="G16" s="2" t="s">
        <v>417</v>
      </c>
      <c r="H16" s="2">
        <v>148</v>
      </c>
      <c r="I16" s="2">
        <v>12</v>
      </c>
      <c r="J16" s="2">
        <v>35</v>
      </c>
      <c r="K16" s="2">
        <v>94</v>
      </c>
    </row>
    <row r="17" spans="1:11">
      <c r="A17" s="2" t="s">
        <v>418</v>
      </c>
      <c r="B17" s="2" t="s">
        <v>419</v>
      </c>
      <c r="C17" s="2" t="s">
        <v>420</v>
      </c>
      <c r="D17" s="29">
        <v>2560000</v>
      </c>
      <c r="E17" s="28">
        <v>1582000</v>
      </c>
      <c r="F17" s="26"/>
      <c r="G17" s="2" t="s">
        <v>421</v>
      </c>
      <c r="H17" s="2">
        <v>117</v>
      </c>
      <c r="I17" s="2">
        <v>48</v>
      </c>
      <c r="J17" s="2">
        <v>12</v>
      </c>
      <c r="K17" s="2">
        <v>106</v>
      </c>
    </row>
    <row r="18" spans="1:11">
      <c r="A18" s="2" t="s">
        <v>422</v>
      </c>
      <c r="B18" s="2" t="s">
        <v>415</v>
      </c>
      <c r="C18" s="2" t="s">
        <v>423</v>
      </c>
      <c r="D18" s="29">
        <v>3075000</v>
      </c>
      <c r="E18" s="28">
        <v>1868000</v>
      </c>
      <c r="F18" s="26"/>
      <c r="G18" s="2" t="s">
        <v>424</v>
      </c>
      <c r="H18" s="2">
        <v>135</v>
      </c>
      <c r="I18" s="2">
        <v>19</v>
      </c>
      <c r="J18" s="2">
        <v>42</v>
      </c>
      <c r="K18" s="2">
        <v>97</v>
      </c>
    </row>
    <row r="19" spans="1:11">
      <c r="A19" s="2" t="s">
        <v>425</v>
      </c>
      <c r="B19" s="2" t="s">
        <v>415</v>
      </c>
      <c r="C19" s="2" t="s">
        <v>426</v>
      </c>
      <c r="D19" s="29">
        <v>2856000</v>
      </c>
      <c r="E19" s="28">
        <v>1540000</v>
      </c>
      <c r="F19" s="26"/>
      <c r="G19" s="2" t="s">
        <v>427</v>
      </c>
      <c r="H19" s="2">
        <v>142</v>
      </c>
      <c r="I19" s="2">
        <v>51</v>
      </c>
      <c r="J19" s="2">
        <v>11</v>
      </c>
      <c r="K19" s="2">
        <v>114</v>
      </c>
    </row>
    <row r="20" spans="1:11">
      <c r="A20" s="2" t="s">
        <v>428</v>
      </c>
      <c r="B20" s="2" t="s">
        <v>411</v>
      </c>
      <c r="C20" s="2" t="s">
        <v>420</v>
      </c>
      <c r="D20" s="29">
        <v>2473000</v>
      </c>
      <c r="E20" s="28">
        <v>1495000</v>
      </c>
      <c r="F20" s="26"/>
      <c r="G20" s="2" t="s">
        <v>429</v>
      </c>
      <c r="H20" s="2">
        <v>135</v>
      </c>
      <c r="I20" s="2">
        <v>49</v>
      </c>
      <c r="J20" s="2">
        <v>16</v>
      </c>
      <c r="K20" s="2">
        <v>108</v>
      </c>
    </row>
    <row r="21" spans="1:11">
      <c r="A21" s="2" t="s">
        <v>430</v>
      </c>
      <c r="B21" s="2" t="s">
        <v>419</v>
      </c>
      <c r="C21" s="2" t="s">
        <v>420</v>
      </c>
      <c r="D21" s="29">
        <v>2372000</v>
      </c>
      <c r="E21" s="28">
        <v>1453000</v>
      </c>
      <c r="F21" s="26"/>
      <c r="G21" s="2" t="s">
        <v>431</v>
      </c>
      <c r="H21" s="2">
        <v>145</v>
      </c>
      <c r="I21" s="2">
        <v>29</v>
      </c>
      <c r="J21" s="2">
        <v>21</v>
      </c>
      <c r="K21" s="2">
        <v>84</v>
      </c>
    </row>
    <row r="22" spans="1:11">
      <c r="A22" s="2" t="s">
        <v>432</v>
      </c>
      <c r="B22" s="2" t="s">
        <v>411</v>
      </c>
      <c r="C22" s="2" t="s">
        <v>426</v>
      </c>
      <c r="D22" s="29">
        <v>2903000</v>
      </c>
      <c r="E22" s="28">
        <v>1500000</v>
      </c>
      <c r="F22" s="26"/>
      <c r="G22" s="2" t="s">
        <v>433</v>
      </c>
      <c r="H22" s="2">
        <v>135</v>
      </c>
      <c r="I22" s="2">
        <v>22</v>
      </c>
      <c r="J22" s="2">
        <v>10</v>
      </c>
      <c r="K22" s="2">
        <v>106</v>
      </c>
    </row>
    <row r="23" spans="1:11">
      <c r="A23" s="45"/>
      <c r="B23" s="45"/>
      <c r="C23" s="45"/>
      <c r="D23" s="45"/>
      <c r="E23" s="45"/>
      <c r="F23" s="26"/>
      <c r="G23" s="2" t="s">
        <v>434</v>
      </c>
      <c r="H23" s="2">
        <v>185</v>
      </c>
      <c r="I23" s="2">
        <v>16</v>
      </c>
      <c r="J23" s="2">
        <v>24</v>
      </c>
      <c r="K23" s="2">
        <v>113</v>
      </c>
    </row>
    <row r="24" spans="1:11">
      <c r="A24" s="127" t="s">
        <v>435</v>
      </c>
      <c r="B24" s="128"/>
      <c r="C24" s="128"/>
      <c r="D24" s="129"/>
      <c r="E24" s="134" t="str">
        <f>COUNTIFS(E15:E22,"&gt;1500000",D15:D22,"&gt;="&amp;AVERAGE(D15:D22))&amp;"명"</f>
        <v>3명</v>
      </c>
      <c r="F24" s="26"/>
      <c r="G24" s="119" t="s">
        <v>436</v>
      </c>
      <c r="H24" s="120"/>
      <c r="I24" s="120"/>
      <c r="J24" s="121"/>
      <c r="K24" s="98">
        <f>AVERAGEIF(I15:I23,"&gt;=40",K15:K23)</f>
        <v>112</v>
      </c>
    </row>
    <row r="25" spans="1:11">
      <c r="A25" s="130"/>
      <c r="B25" s="131"/>
      <c r="C25" s="131"/>
      <c r="D25" s="132"/>
      <c r="E25" s="134"/>
      <c r="F25" s="26"/>
      <c r="G25" s="26"/>
      <c r="H25" s="26"/>
      <c r="I25" s="26"/>
      <c r="J25" s="26"/>
      <c r="K25" s="26"/>
    </row>
    <row r="26" spans="1:1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</row>
    <row r="27" spans="1:11">
      <c r="A27" s="26" t="s">
        <v>437</v>
      </c>
      <c r="B27" s="27" t="s">
        <v>438</v>
      </c>
      <c r="C27" s="26"/>
      <c r="D27" s="26"/>
      <c r="E27" s="26"/>
      <c r="F27" s="26"/>
      <c r="G27" s="47" t="s">
        <v>439</v>
      </c>
      <c r="H27" s="48" t="s">
        <v>440</v>
      </c>
      <c r="I27" s="48"/>
      <c r="J27" s="47"/>
      <c r="K27" s="26"/>
    </row>
    <row r="28" spans="1:11">
      <c r="A28" s="2" t="s">
        <v>441</v>
      </c>
      <c r="B28" s="2" t="s">
        <v>442</v>
      </c>
      <c r="C28" s="2" t="s">
        <v>443</v>
      </c>
      <c r="D28" s="2" t="s">
        <v>444</v>
      </c>
      <c r="E28" s="125" t="s">
        <v>445</v>
      </c>
      <c r="F28" s="26"/>
      <c r="G28" s="5" t="s">
        <v>360</v>
      </c>
      <c r="H28" s="5" t="s">
        <v>446</v>
      </c>
      <c r="I28" s="5" t="s">
        <v>447</v>
      </c>
      <c r="J28" s="92" t="s">
        <v>448</v>
      </c>
      <c r="K28" s="26"/>
    </row>
    <row r="29" spans="1:11">
      <c r="A29" s="2" t="s">
        <v>449</v>
      </c>
      <c r="B29" s="2">
        <v>5535</v>
      </c>
      <c r="C29" s="2">
        <v>6021</v>
      </c>
      <c r="D29" s="2">
        <v>4831</v>
      </c>
      <c r="E29" s="126"/>
      <c r="F29" s="26"/>
      <c r="G29" s="5" t="s">
        <v>450</v>
      </c>
      <c r="H29" s="5" t="s">
        <v>451</v>
      </c>
      <c r="I29" s="5">
        <v>87</v>
      </c>
      <c r="J29" s="100" t="str">
        <f>LARGE(I29:I38,3)&amp;"점"</f>
        <v>95점</v>
      </c>
      <c r="K29" s="26"/>
    </row>
    <row r="30" spans="1:11">
      <c r="A30" s="2" t="s">
        <v>452</v>
      </c>
      <c r="B30" s="2">
        <v>5468</v>
      </c>
      <c r="C30" s="2">
        <v>6871</v>
      </c>
      <c r="D30" s="2">
        <v>5001</v>
      </c>
      <c r="E30" s="99">
        <f>ROUNDDOWN(STDEV(D29:D38),1)</f>
        <v>327.5</v>
      </c>
      <c r="F30" s="26"/>
      <c r="G30" s="5" t="s">
        <v>453</v>
      </c>
      <c r="H30" s="5" t="s">
        <v>454</v>
      </c>
      <c r="I30" s="5">
        <v>95</v>
      </c>
      <c r="J30" s="47"/>
      <c r="K30" s="26"/>
    </row>
    <row r="31" spans="1:11">
      <c r="A31" s="2" t="s">
        <v>455</v>
      </c>
      <c r="B31" s="2">
        <v>5724</v>
      </c>
      <c r="C31" s="2">
        <v>6278</v>
      </c>
      <c r="D31" s="2">
        <v>4835</v>
      </c>
      <c r="E31" s="26"/>
      <c r="F31" s="26"/>
      <c r="G31" s="5" t="s">
        <v>456</v>
      </c>
      <c r="H31" s="5" t="s">
        <v>183</v>
      </c>
      <c r="I31" s="5">
        <v>87</v>
      </c>
      <c r="J31" s="47"/>
      <c r="K31" s="26"/>
    </row>
    <row r="32" spans="1:11">
      <c r="A32" s="2" t="s">
        <v>457</v>
      </c>
      <c r="B32" s="2">
        <v>5689</v>
      </c>
      <c r="C32" s="2">
        <v>6389</v>
      </c>
      <c r="D32" s="2">
        <v>4297</v>
      </c>
      <c r="E32" s="26"/>
      <c r="F32" s="26"/>
      <c r="G32" s="5" t="s">
        <v>458</v>
      </c>
      <c r="H32" s="5" t="s">
        <v>188</v>
      </c>
      <c r="I32" s="5">
        <v>99</v>
      </c>
      <c r="J32" s="47"/>
      <c r="K32" s="26"/>
    </row>
    <row r="33" spans="1:11">
      <c r="A33" s="2" t="s">
        <v>459</v>
      </c>
      <c r="B33" s="2">
        <v>5179</v>
      </c>
      <c r="C33" s="2">
        <v>6172</v>
      </c>
      <c r="D33" s="2">
        <v>5017</v>
      </c>
      <c r="E33" s="26"/>
      <c r="F33" s="26"/>
      <c r="G33" s="5" t="s">
        <v>460</v>
      </c>
      <c r="H33" s="5" t="s">
        <v>461</v>
      </c>
      <c r="I33" s="5">
        <v>84</v>
      </c>
      <c r="J33" s="47"/>
      <c r="K33" s="26"/>
    </row>
    <row r="34" spans="1:11">
      <c r="A34" s="2" t="s">
        <v>462</v>
      </c>
      <c r="B34" s="2">
        <v>5348</v>
      </c>
      <c r="C34" s="2">
        <v>6008</v>
      </c>
      <c r="D34" s="2">
        <v>4983</v>
      </c>
      <c r="E34" s="26"/>
      <c r="F34" s="26"/>
      <c r="G34" s="5" t="s">
        <v>463</v>
      </c>
      <c r="H34" s="5" t="s">
        <v>451</v>
      </c>
      <c r="I34" s="5">
        <v>95</v>
      </c>
      <c r="J34" s="47"/>
      <c r="K34" s="26"/>
    </row>
    <row r="35" spans="1:11">
      <c r="A35" s="2" t="s">
        <v>464</v>
      </c>
      <c r="B35" s="2">
        <v>5493</v>
      </c>
      <c r="C35" s="2">
        <v>6217</v>
      </c>
      <c r="D35" s="2">
        <v>4998</v>
      </c>
      <c r="E35" s="26"/>
      <c r="F35" s="26"/>
      <c r="G35" s="5" t="s">
        <v>465</v>
      </c>
      <c r="H35" s="5" t="s">
        <v>466</v>
      </c>
      <c r="I35" s="5">
        <v>68</v>
      </c>
      <c r="J35" s="47"/>
      <c r="K35" s="26"/>
    </row>
    <row r="36" spans="1:11">
      <c r="A36" s="2" t="s">
        <v>467</v>
      </c>
      <c r="B36" s="2">
        <v>5157</v>
      </c>
      <c r="C36" s="2">
        <v>6397</v>
      </c>
      <c r="D36" s="2">
        <v>4328</v>
      </c>
      <c r="E36" s="26"/>
      <c r="F36" s="26"/>
      <c r="G36" s="5" t="s">
        <v>468</v>
      </c>
      <c r="H36" s="5" t="s">
        <v>188</v>
      </c>
      <c r="I36" s="5">
        <v>78</v>
      </c>
      <c r="J36" s="47"/>
      <c r="K36" s="26"/>
    </row>
    <row r="37" spans="1:11">
      <c r="A37" s="2" t="s">
        <v>469</v>
      </c>
      <c r="B37" s="2">
        <v>5537</v>
      </c>
      <c r="C37" s="2">
        <v>6284</v>
      </c>
      <c r="D37" s="2">
        <v>4682</v>
      </c>
      <c r="E37" s="26"/>
      <c r="F37" s="26"/>
      <c r="G37" s="5" t="s">
        <v>470</v>
      </c>
      <c r="H37" s="5" t="s">
        <v>196</v>
      </c>
      <c r="I37" s="5">
        <v>82</v>
      </c>
      <c r="J37" s="47"/>
      <c r="K37" s="26"/>
    </row>
    <row r="38" spans="1:11">
      <c r="A38" s="2" t="s">
        <v>471</v>
      </c>
      <c r="B38" s="2">
        <v>5399</v>
      </c>
      <c r="C38" s="2">
        <v>6316</v>
      </c>
      <c r="D38" s="2">
        <v>4179</v>
      </c>
      <c r="E38" s="26"/>
      <c r="F38" s="26"/>
      <c r="G38" s="5" t="s">
        <v>472</v>
      </c>
      <c r="H38" s="5" t="s">
        <v>454</v>
      </c>
      <c r="I38" s="5">
        <v>67</v>
      </c>
      <c r="J38" s="47"/>
      <c r="K38" s="26"/>
    </row>
  </sheetData>
  <mergeCells count="7">
    <mergeCell ref="E28:E29"/>
    <mergeCell ref="D10:E10"/>
    <mergeCell ref="D11:E11"/>
    <mergeCell ref="G11:I11"/>
    <mergeCell ref="A24:D25"/>
    <mergeCell ref="E24:E25"/>
    <mergeCell ref="G24:J24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/>
  </sheetViews>
  <sheetFormatPr defaultRowHeight="17"/>
  <cols>
    <col min="1" max="1" width="9.58203125" bestFit="1" customWidth="1"/>
    <col min="3" max="3" width="10.5" bestFit="1" customWidth="1"/>
    <col min="7" max="7" width="1.58203125" customWidth="1"/>
    <col min="8" max="8" width="14.83203125" customWidth="1"/>
    <col min="9" max="11" width="11.25" customWidth="1"/>
    <col min="12" max="12" width="10.83203125" bestFit="1" customWidth="1"/>
  </cols>
  <sheetData>
    <row r="1" spans="1:12">
      <c r="A1" s="26" t="s">
        <v>65</v>
      </c>
      <c r="B1" s="31" t="s">
        <v>474</v>
      </c>
      <c r="C1" s="7"/>
      <c r="D1" s="7"/>
      <c r="E1" s="7"/>
      <c r="F1" s="7"/>
      <c r="G1" s="7"/>
      <c r="H1" s="26" t="s">
        <v>67</v>
      </c>
      <c r="I1" s="31" t="s">
        <v>475</v>
      </c>
      <c r="J1" s="7"/>
      <c r="K1" s="7"/>
      <c r="L1" s="7"/>
    </row>
    <row r="2" spans="1:12">
      <c r="A2" s="86" t="s">
        <v>476</v>
      </c>
      <c r="B2" s="86" t="s">
        <v>477</v>
      </c>
      <c r="C2" s="86" t="s">
        <v>478</v>
      </c>
      <c r="D2" s="86" t="s">
        <v>479</v>
      </c>
      <c r="E2" s="86" t="s">
        <v>480</v>
      </c>
      <c r="F2" s="91" t="s">
        <v>481</v>
      </c>
      <c r="G2" s="7"/>
      <c r="H2" s="5" t="s">
        <v>177</v>
      </c>
      <c r="I2" s="5" t="s">
        <v>174</v>
      </c>
      <c r="J2" s="5" t="s">
        <v>482</v>
      </c>
      <c r="K2" s="5" t="s">
        <v>218</v>
      </c>
      <c r="L2" s="5" t="s">
        <v>484</v>
      </c>
    </row>
    <row r="3" spans="1:12">
      <c r="A3" s="86" t="s">
        <v>485</v>
      </c>
      <c r="B3" s="86">
        <v>15</v>
      </c>
      <c r="C3" s="86">
        <v>13</v>
      </c>
      <c r="D3" s="86">
        <v>10</v>
      </c>
      <c r="E3" s="86">
        <f>B3*3+C3*1</f>
        <v>58</v>
      </c>
      <c r="F3" s="86"/>
      <c r="G3" s="7"/>
      <c r="H3" s="5" t="s">
        <v>486</v>
      </c>
      <c r="I3" s="5" t="s">
        <v>188</v>
      </c>
      <c r="J3" s="30" t="s">
        <v>224</v>
      </c>
      <c r="K3" s="30">
        <v>4</v>
      </c>
      <c r="L3" s="88">
        <v>4800000</v>
      </c>
    </row>
    <row r="4" spans="1:12">
      <c r="A4" s="86" t="s">
        <v>487</v>
      </c>
      <c r="B4" s="86">
        <v>7</v>
      </c>
      <c r="C4" s="86">
        <v>15</v>
      </c>
      <c r="D4" s="86">
        <v>16</v>
      </c>
      <c r="E4" s="86">
        <f t="shared" ref="E4:E12" si="0">B4*3+C4*1</f>
        <v>36</v>
      </c>
      <c r="F4" s="86"/>
      <c r="G4" s="7"/>
      <c r="H4" s="5" t="s">
        <v>488</v>
      </c>
      <c r="I4" s="5" t="s">
        <v>188</v>
      </c>
      <c r="J4" s="30" t="s">
        <v>232</v>
      </c>
      <c r="K4" s="30">
        <v>5</v>
      </c>
      <c r="L4" s="88">
        <v>4000000</v>
      </c>
    </row>
    <row r="5" spans="1:12">
      <c r="A5" s="86" t="s">
        <v>490</v>
      </c>
      <c r="B5" s="86">
        <v>24</v>
      </c>
      <c r="C5" s="86">
        <v>9</v>
      </c>
      <c r="D5" s="86">
        <v>5</v>
      </c>
      <c r="E5" s="86">
        <f t="shared" si="0"/>
        <v>81</v>
      </c>
      <c r="F5" s="86"/>
      <c r="G5" s="7"/>
      <c r="H5" s="5" t="s">
        <v>491</v>
      </c>
      <c r="I5" s="5" t="s">
        <v>183</v>
      </c>
      <c r="J5" s="30" t="s">
        <v>232</v>
      </c>
      <c r="K5" s="30">
        <v>5</v>
      </c>
      <c r="L5" s="88">
        <v>4000000</v>
      </c>
    </row>
    <row r="6" spans="1:12">
      <c r="A6" s="86" t="s">
        <v>492</v>
      </c>
      <c r="B6" s="86">
        <v>14</v>
      </c>
      <c r="C6" s="86">
        <v>12</v>
      </c>
      <c r="D6" s="86">
        <v>12</v>
      </c>
      <c r="E6" s="86">
        <f t="shared" si="0"/>
        <v>54</v>
      </c>
      <c r="F6" s="86"/>
      <c r="G6" s="7"/>
      <c r="H6" s="5" t="s">
        <v>493</v>
      </c>
      <c r="I6" s="5" t="s">
        <v>188</v>
      </c>
      <c r="J6" s="30" t="s">
        <v>224</v>
      </c>
      <c r="K6" s="30">
        <v>3</v>
      </c>
      <c r="L6" s="88">
        <v>4600000</v>
      </c>
    </row>
    <row r="7" spans="1:12">
      <c r="A7" s="86" t="s">
        <v>495</v>
      </c>
      <c r="B7" s="86">
        <v>9</v>
      </c>
      <c r="C7" s="86">
        <v>13</v>
      </c>
      <c r="D7" s="86">
        <v>16</v>
      </c>
      <c r="E7" s="86">
        <f t="shared" si="0"/>
        <v>40</v>
      </c>
      <c r="F7" s="86"/>
      <c r="G7" s="7"/>
      <c r="H7" s="5" t="s">
        <v>496</v>
      </c>
      <c r="I7" s="5" t="s">
        <v>183</v>
      </c>
      <c r="J7" s="30" t="s">
        <v>224</v>
      </c>
      <c r="K7" s="30">
        <v>2</v>
      </c>
      <c r="L7" s="88">
        <v>4500000</v>
      </c>
    </row>
    <row r="8" spans="1:12">
      <c r="A8" s="86" t="s">
        <v>497</v>
      </c>
      <c r="B8" s="86">
        <v>14</v>
      </c>
      <c r="C8" s="86">
        <v>9</v>
      </c>
      <c r="D8" s="86">
        <v>15</v>
      </c>
      <c r="E8" s="86">
        <f t="shared" si="0"/>
        <v>51</v>
      </c>
      <c r="F8" s="86"/>
      <c r="G8" s="7"/>
      <c r="H8" s="5" t="s">
        <v>498</v>
      </c>
      <c r="I8" s="5" t="s">
        <v>188</v>
      </c>
      <c r="J8" s="30" t="s">
        <v>232</v>
      </c>
      <c r="K8" s="30">
        <v>1</v>
      </c>
      <c r="L8" s="88">
        <v>3200000</v>
      </c>
    </row>
    <row r="9" spans="1:12">
      <c r="A9" s="86" t="s">
        <v>499</v>
      </c>
      <c r="B9" s="86">
        <v>8</v>
      </c>
      <c r="C9" s="86">
        <v>16</v>
      </c>
      <c r="D9" s="86">
        <v>14</v>
      </c>
      <c r="E9" s="86">
        <f t="shared" si="0"/>
        <v>40</v>
      </c>
      <c r="F9" s="86"/>
      <c r="G9" s="7"/>
      <c r="H9" s="5" t="s">
        <v>500</v>
      </c>
      <c r="I9" s="5" t="s">
        <v>183</v>
      </c>
      <c r="J9" s="30" t="s">
        <v>224</v>
      </c>
      <c r="K9" s="30">
        <v>3</v>
      </c>
      <c r="L9" s="88">
        <v>4600000</v>
      </c>
    </row>
    <row r="10" spans="1:12">
      <c r="A10" s="86" t="s">
        <v>501</v>
      </c>
      <c r="B10" s="86">
        <v>17</v>
      </c>
      <c r="C10" s="86">
        <v>9</v>
      </c>
      <c r="D10" s="86">
        <v>12</v>
      </c>
      <c r="E10" s="86">
        <f t="shared" si="0"/>
        <v>60</v>
      </c>
      <c r="F10" s="86"/>
      <c r="G10" s="7"/>
      <c r="H10" s="5" t="s">
        <v>502</v>
      </c>
      <c r="I10" s="5" t="s">
        <v>183</v>
      </c>
      <c r="J10" s="30" t="s">
        <v>232</v>
      </c>
      <c r="K10" s="30">
        <v>2</v>
      </c>
      <c r="L10" s="88">
        <v>3400000</v>
      </c>
    </row>
    <row r="11" spans="1:12">
      <c r="A11" s="86" t="s">
        <v>503</v>
      </c>
      <c r="B11" s="86">
        <v>13</v>
      </c>
      <c r="C11" s="86">
        <v>11</v>
      </c>
      <c r="D11" s="86">
        <v>14</v>
      </c>
      <c r="E11" s="86">
        <f t="shared" si="0"/>
        <v>50</v>
      </c>
      <c r="F11" s="86"/>
      <c r="G11" s="7"/>
      <c r="H11" s="5" t="s">
        <v>504</v>
      </c>
      <c r="I11" s="5" t="s">
        <v>183</v>
      </c>
      <c r="J11" s="30" t="s">
        <v>232</v>
      </c>
      <c r="K11" s="30">
        <v>4</v>
      </c>
      <c r="L11" s="88">
        <v>3800000</v>
      </c>
    </row>
    <row r="12" spans="1:12">
      <c r="A12" s="86" t="s">
        <v>505</v>
      </c>
      <c r="B12" s="86">
        <v>7</v>
      </c>
      <c r="C12" s="86">
        <v>13</v>
      </c>
      <c r="D12" s="86">
        <v>18</v>
      </c>
      <c r="E12" s="86">
        <f t="shared" si="0"/>
        <v>34</v>
      </c>
      <c r="F12" s="86"/>
      <c r="G12" s="7"/>
      <c r="H12" s="119" t="s">
        <v>506</v>
      </c>
      <c r="I12" s="120"/>
      <c r="J12" s="120"/>
      <c r="K12" s="121"/>
      <c r="L12" s="88"/>
    </row>
    <row r="13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6" t="s">
        <v>112</v>
      </c>
      <c r="B14" s="31" t="s">
        <v>507</v>
      </c>
      <c r="C14" s="7"/>
      <c r="D14" s="7"/>
      <c r="E14" s="7"/>
      <c r="F14" s="7"/>
      <c r="G14" s="7"/>
      <c r="H14" s="26" t="s">
        <v>114</v>
      </c>
      <c r="I14" s="31" t="s">
        <v>509</v>
      </c>
      <c r="J14" s="7"/>
      <c r="K14" s="7"/>
      <c r="L14" s="7"/>
    </row>
    <row r="15" spans="1:12">
      <c r="A15" s="86" t="s">
        <v>177</v>
      </c>
      <c r="B15" s="86" t="s">
        <v>510</v>
      </c>
      <c r="C15" s="86" t="s">
        <v>511</v>
      </c>
      <c r="D15" s="86" t="s">
        <v>512</v>
      </c>
      <c r="E15" s="86" t="s">
        <v>513</v>
      </c>
      <c r="F15" s="91" t="s">
        <v>514</v>
      </c>
      <c r="G15" s="7"/>
      <c r="H15" s="86" t="s">
        <v>515</v>
      </c>
      <c r="I15" s="86" t="s">
        <v>516</v>
      </c>
      <c r="J15" s="86" t="s">
        <v>517</v>
      </c>
      <c r="K15" s="91" t="s">
        <v>518</v>
      </c>
      <c r="L15" s="7"/>
    </row>
    <row r="16" spans="1:12">
      <c r="A16" s="5" t="s">
        <v>519</v>
      </c>
      <c r="B16" s="5" t="s">
        <v>126</v>
      </c>
      <c r="C16" s="5" t="s">
        <v>126</v>
      </c>
      <c r="D16" s="5"/>
      <c r="E16" s="5" t="s">
        <v>126</v>
      </c>
      <c r="F16" s="30"/>
      <c r="G16" s="7"/>
      <c r="H16" s="86">
        <v>1001</v>
      </c>
      <c r="I16" s="86">
        <v>29</v>
      </c>
      <c r="J16" s="49">
        <v>4.7222222222222221E-2</v>
      </c>
      <c r="K16" s="50"/>
      <c r="L16" s="7"/>
    </row>
    <row r="17" spans="1:12">
      <c r="A17" s="5" t="s">
        <v>520</v>
      </c>
      <c r="B17" s="5"/>
      <c r="C17" s="5" t="s">
        <v>126</v>
      </c>
      <c r="D17" s="5" t="s">
        <v>126</v>
      </c>
      <c r="E17" s="5" t="s">
        <v>126</v>
      </c>
      <c r="F17" s="30"/>
      <c r="G17" s="7"/>
      <c r="H17" s="86">
        <v>1002</v>
      </c>
      <c r="I17" s="86">
        <v>43</v>
      </c>
      <c r="J17" s="49">
        <v>6.3888888888888884E-2</v>
      </c>
      <c r="K17" s="50"/>
      <c r="L17" s="7"/>
    </row>
    <row r="18" spans="1:12">
      <c r="A18" s="5" t="s">
        <v>522</v>
      </c>
      <c r="B18" s="5" t="s">
        <v>126</v>
      </c>
      <c r="C18" s="5" t="s">
        <v>126</v>
      </c>
      <c r="D18" s="5" t="s">
        <v>126</v>
      </c>
      <c r="E18" s="5" t="s">
        <v>126</v>
      </c>
      <c r="F18" s="30"/>
      <c r="G18" s="7"/>
      <c r="H18" s="86">
        <v>1003</v>
      </c>
      <c r="I18" s="86">
        <v>52</v>
      </c>
      <c r="J18" s="49">
        <v>5.8333333333333327E-2</v>
      </c>
      <c r="K18" s="50"/>
      <c r="L18" s="7"/>
    </row>
    <row r="19" spans="1:12">
      <c r="A19" s="5" t="s">
        <v>523</v>
      </c>
      <c r="B19" s="5" t="s">
        <v>126</v>
      </c>
      <c r="C19" s="5"/>
      <c r="D19" s="5" t="s">
        <v>126</v>
      </c>
      <c r="E19" s="5"/>
      <c r="F19" s="30"/>
      <c r="G19" s="7"/>
      <c r="H19" s="86">
        <v>1004</v>
      </c>
      <c r="I19" s="86">
        <v>35</v>
      </c>
      <c r="J19" s="49">
        <v>5.6250000000000001E-2</v>
      </c>
      <c r="K19" s="50"/>
      <c r="L19" s="7"/>
    </row>
    <row r="20" spans="1:12">
      <c r="A20" s="5" t="s">
        <v>524</v>
      </c>
      <c r="B20" s="5" t="s">
        <v>126</v>
      </c>
      <c r="C20" s="5" t="s">
        <v>126</v>
      </c>
      <c r="D20" s="5"/>
      <c r="E20" s="5" t="s">
        <v>126</v>
      </c>
      <c r="F20" s="30"/>
      <c r="G20" s="7"/>
      <c r="H20" s="86">
        <v>1005</v>
      </c>
      <c r="I20" s="86">
        <v>31</v>
      </c>
      <c r="J20" s="49">
        <v>4.3750000000000004E-2</v>
      </c>
      <c r="K20" s="50"/>
      <c r="L20" s="7"/>
    </row>
    <row r="21" spans="1:12">
      <c r="A21" s="5" t="s">
        <v>525</v>
      </c>
      <c r="B21" s="5" t="s">
        <v>126</v>
      </c>
      <c r="C21" s="5" t="s">
        <v>126</v>
      </c>
      <c r="D21" s="5" t="s">
        <v>126</v>
      </c>
      <c r="E21" s="5"/>
      <c r="F21" s="30"/>
      <c r="G21" s="7"/>
      <c r="H21" s="86">
        <v>1006</v>
      </c>
      <c r="I21" s="86">
        <v>34</v>
      </c>
      <c r="J21" s="49">
        <v>5.2083333333333336E-2</v>
      </c>
      <c r="K21" s="50"/>
      <c r="L21" s="7"/>
    </row>
    <row r="22" spans="1:12">
      <c r="A22" s="5" t="s">
        <v>526</v>
      </c>
      <c r="B22" s="5"/>
      <c r="C22" s="5" t="s">
        <v>126</v>
      </c>
      <c r="D22" s="5"/>
      <c r="E22" s="5"/>
      <c r="F22" s="30"/>
      <c r="G22" s="7"/>
      <c r="H22" s="86">
        <v>1007</v>
      </c>
      <c r="I22" s="86">
        <v>28</v>
      </c>
      <c r="J22" s="49">
        <v>5.9722222222222225E-2</v>
      </c>
      <c r="K22" s="50"/>
      <c r="L22" s="7"/>
    </row>
    <row r="23" spans="1:12">
      <c r="A23" s="5" t="s">
        <v>527</v>
      </c>
      <c r="B23" s="5" t="s">
        <v>126</v>
      </c>
      <c r="C23" s="5" t="s">
        <v>126</v>
      </c>
      <c r="D23" s="5" t="s">
        <v>126</v>
      </c>
      <c r="E23" s="5" t="s">
        <v>126</v>
      </c>
      <c r="F23" s="30"/>
      <c r="G23" s="7"/>
      <c r="H23" s="86">
        <v>1008</v>
      </c>
      <c r="I23" s="86">
        <v>42</v>
      </c>
      <c r="J23" s="49">
        <v>5.486111111111111E-2</v>
      </c>
      <c r="K23" s="50"/>
      <c r="L23" s="7"/>
    </row>
    <row r="24" spans="1:12">
      <c r="A24" s="5" t="s">
        <v>528</v>
      </c>
      <c r="B24" s="5"/>
      <c r="C24" s="5" t="s">
        <v>126</v>
      </c>
      <c r="D24" s="5"/>
      <c r="E24" s="5" t="s">
        <v>126</v>
      </c>
      <c r="F24" s="30"/>
      <c r="G24" s="7"/>
      <c r="H24" s="86">
        <v>1009</v>
      </c>
      <c r="I24" s="86">
        <v>44</v>
      </c>
      <c r="J24" s="49">
        <v>5.6250000000000001E-2</v>
      </c>
      <c r="K24" s="50"/>
      <c r="L24" s="7"/>
    </row>
    <row r="25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6" t="s">
        <v>169</v>
      </c>
      <c r="B26" s="17"/>
      <c r="C26" s="17"/>
      <c r="D26" s="7"/>
      <c r="E26" s="7"/>
      <c r="F26" s="7"/>
      <c r="G26" s="7"/>
      <c r="H26" s="26" t="s">
        <v>171</v>
      </c>
      <c r="I26" s="7" t="s">
        <v>530</v>
      </c>
      <c r="J26" s="7"/>
      <c r="K26" s="51" t="s">
        <v>531</v>
      </c>
      <c r="L26" s="51"/>
    </row>
    <row r="27" spans="1:12">
      <c r="A27" s="52" t="s">
        <v>532</v>
      </c>
      <c r="B27" s="52" t="s">
        <v>533</v>
      </c>
      <c r="C27" s="52" t="s">
        <v>534</v>
      </c>
      <c r="D27" s="7"/>
      <c r="E27" s="7"/>
      <c r="F27" s="7"/>
      <c r="G27" s="7"/>
      <c r="H27" s="89" t="s">
        <v>338</v>
      </c>
      <c r="I27" s="89" t="s">
        <v>536</v>
      </c>
      <c r="J27" s="89" t="s">
        <v>537</v>
      </c>
      <c r="K27" s="89" t="s">
        <v>538</v>
      </c>
      <c r="L27" s="7"/>
    </row>
    <row r="28" spans="1:12">
      <c r="A28" s="54" t="s">
        <v>539</v>
      </c>
      <c r="B28" s="55" t="s">
        <v>540</v>
      </c>
      <c r="C28" s="56">
        <v>193908</v>
      </c>
      <c r="D28" s="7"/>
      <c r="E28" s="7"/>
      <c r="F28" s="7"/>
      <c r="G28" s="7"/>
      <c r="H28" s="89" t="s">
        <v>541</v>
      </c>
      <c r="I28" s="89"/>
      <c r="J28" s="89" t="s">
        <v>542</v>
      </c>
      <c r="K28" s="86" t="s">
        <v>542</v>
      </c>
      <c r="L28" s="7"/>
    </row>
    <row r="29" spans="1:12">
      <c r="A29" s="54" t="s">
        <v>543</v>
      </c>
      <c r="B29" s="86" t="s">
        <v>544</v>
      </c>
      <c r="C29" s="56"/>
      <c r="D29" s="7"/>
      <c r="E29" s="7"/>
      <c r="F29" s="7"/>
      <c r="G29" s="7"/>
      <c r="H29" s="89" t="s">
        <v>545</v>
      </c>
      <c r="I29" s="89"/>
      <c r="J29" s="89"/>
      <c r="K29" s="86"/>
      <c r="L29" s="7"/>
    </row>
    <row r="30" spans="1:12">
      <c r="A30" s="54" t="s">
        <v>546</v>
      </c>
      <c r="B30" s="86" t="s">
        <v>547</v>
      </c>
      <c r="C30" s="56"/>
      <c r="D30" s="7"/>
      <c r="E30" s="7"/>
      <c r="F30" s="7"/>
      <c r="G30" s="7"/>
      <c r="H30" s="89" t="s">
        <v>548</v>
      </c>
      <c r="I30" s="89" t="s">
        <v>542</v>
      </c>
      <c r="J30" s="89"/>
      <c r="K30" s="86"/>
      <c r="L30" s="7"/>
    </row>
    <row r="31" spans="1:12">
      <c r="A31" s="54" t="s">
        <v>549</v>
      </c>
      <c r="B31" s="86" t="s">
        <v>550</v>
      </c>
      <c r="C31" s="56">
        <v>2697000</v>
      </c>
      <c r="D31" s="7"/>
      <c r="E31" s="7"/>
      <c r="F31" s="7"/>
      <c r="G31" s="7"/>
      <c r="H31" s="89" t="s">
        <v>551</v>
      </c>
      <c r="I31" s="89"/>
      <c r="J31" s="89"/>
      <c r="K31" s="86" t="s">
        <v>542</v>
      </c>
      <c r="L31" s="7"/>
    </row>
    <row r="32" spans="1:12">
      <c r="A32" s="54" t="s">
        <v>552</v>
      </c>
      <c r="B32" s="86" t="s">
        <v>553</v>
      </c>
      <c r="C32" s="56"/>
      <c r="D32" s="7"/>
      <c r="E32" s="7"/>
      <c r="F32" s="7"/>
      <c r="G32" s="7"/>
      <c r="H32" s="89" t="s">
        <v>554</v>
      </c>
      <c r="I32" s="89" t="s">
        <v>542</v>
      </c>
      <c r="J32" s="89"/>
      <c r="K32" s="86"/>
      <c r="L32" s="7"/>
    </row>
    <row r="33" spans="1:12">
      <c r="A33" s="54" t="s">
        <v>555</v>
      </c>
      <c r="B33" s="86" t="s">
        <v>556</v>
      </c>
      <c r="C33" s="56">
        <v>5000000</v>
      </c>
      <c r="D33" s="7"/>
      <c r="E33" s="7"/>
      <c r="F33" s="7"/>
      <c r="G33" s="7"/>
      <c r="H33" s="89" t="s">
        <v>557</v>
      </c>
      <c r="I33" s="89"/>
      <c r="J33" s="89"/>
      <c r="K33" s="86"/>
      <c r="L33" s="7"/>
    </row>
    <row r="34" spans="1:12">
      <c r="A34" s="135" t="s">
        <v>558</v>
      </c>
      <c r="B34" s="135"/>
      <c r="C34" s="89"/>
      <c r="D34" s="7"/>
      <c r="E34" s="7"/>
      <c r="F34" s="7"/>
      <c r="G34" s="7"/>
      <c r="H34" s="57" t="s">
        <v>559</v>
      </c>
      <c r="I34" s="57" t="s">
        <v>542</v>
      </c>
      <c r="J34" s="57" t="s">
        <v>542</v>
      </c>
      <c r="K34" s="1" t="s">
        <v>542</v>
      </c>
      <c r="L34" s="7"/>
    </row>
    <row r="35" spans="1:1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>
      <c r="A36" s="7"/>
      <c r="B36" s="7"/>
      <c r="C36" s="7"/>
      <c r="D36" s="7"/>
      <c r="E36" s="7"/>
      <c r="F36" s="7"/>
      <c r="G36" s="7"/>
      <c r="H36" s="136" t="s">
        <v>560</v>
      </c>
      <c r="I36" s="137"/>
      <c r="J36" s="86"/>
      <c r="K36" s="7"/>
      <c r="L36" s="7"/>
    </row>
  </sheetData>
  <mergeCells count="3">
    <mergeCell ref="H12:K12"/>
    <mergeCell ref="A34:B34"/>
    <mergeCell ref="H36:I36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/>
  </sheetViews>
  <sheetFormatPr defaultRowHeight="17"/>
  <cols>
    <col min="1" max="1" width="9.58203125" bestFit="1" customWidth="1"/>
    <col min="3" max="3" width="10.5" bestFit="1" customWidth="1"/>
    <col min="7" max="7" width="1.58203125" customWidth="1"/>
    <col min="8" max="8" width="14.83203125" customWidth="1"/>
    <col min="9" max="11" width="11.25" customWidth="1"/>
    <col min="12" max="12" width="10.83203125" bestFit="1" customWidth="1"/>
  </cols>
  <sheetData>
    <row r="1" spans="1:12">
      <c r="A1" s="26" t="s">
        <v>473</v>
      </c>
      <c r="B1" s="31" t="s">
        <v>474</v>
      </c>
      <c r="C1" s="7"/>
      <c r="D1" s="7"/>
      <c r="E1" s="7"/>
      <c r="F1" s="7"/>
      <c r="G1" s="7"/>
      <c r="H1" s="26" t="s">
        <v>215</v>
      </c>
      <c r="I1" s="31" t="s">
        <v>475</v>
      </c>
      <c r="J1" s="7"/>
      <c r="K1" s="7"/>
      <c r="L1" s="7"/>
    </row>
    <row r="2" spans="1:12">
      <c r="A2" s="2" t="s">
        <v>476</v>
      </c>
      <c r="B2" s="2" t="s">
        <v>477</v>
      </c>
      <c r="C2" s="2" t="s">
        <v>478</v>
      </c>
      <c r="D2" s="2" t="s">
        <v>479</v>
      </c>
      <c r="E2" s="2" t="s">
        <v>480</v>
      </c>
      <c r="F2" s="90" t="s">
        <v>481</v>
      </c>
      <c r="G2" s="7"/>
      <c r="H2" s="5" t="s">
        <v>177</v>
      </c>
      <c r="I2" s="5" t="s">
        <v>251</v>
      </c>
      <c r="J2" s="5" t="s">
        <v>482</v>
      </c>
      <c r="K2" s="5" t="s">
        <v>483</v>
      </c>
      <c r="L2" s="5" t="s">
        <v>484</v>
      </c>
    </row>
    <row r="3" spans="1:12">
      <c r="A3" s="2" t="s">
        <v>485</v>
      </c>
      <c r="B3" s="2">
        <v>15</v>
      </c>
      <c r="C3" s="2">
        <v>13</v>
      </c>
      <c r="D3" s="2">
        <v>10</v>
      </c>
      <c r="E3" s="2">
        <f>B3*3+C3*1</f>
        <v>58</v>
      </c>
      <c r="F3" s="98" t="str">
        <f>IF(_xlfn.RANK.EQ(E3,$E$3:$E$12)&lt;=3,"결승진출","")</f>
        <v>결승진출</v>
      </c>
      <c r="G3" s="7"/>
      <c r="H3" s="5" t="s">
        <v>486</v>
      </c>
      <c r="I3" s="5" t="s">
        <v>188</v>
      </c>
      <c r="J3" s="30" t="s">
        <v>224</v>
      </c>
      <c r="K3" s="30">
        <v>4</v>
      </c>
      <c r="L3" s="29">
        <v>4800000</v>
      </c>
    </row>
    <row r="4" spans="1:12">
      <c r="A4" s="2" t="s">
        <v>487</v>
      </c>
      <c r="B4" s="2">
        <v>7</v>
      </c>
      <c r="C4" s="2">
        <v>15</v>
      </c>
      <c r="D4" s="2">
        <v>16</v>
      </c>
      <c r="E4" s="2">
        <f t="shared" ref="E4:E12" si="0">B4*3+C4*1</f>
        <v>36</v>
      </c>
      <c r="F4" s="98" t="str">
        <f t="shared" ref="F4:F12" si="1">IF(_xlfn.RANK.EQ(E4,$E$3:$E$12)&lt;=3,"결승진출","")</f>
        <v/>
      </c>
      <c r="G4" s="7"/>
      <c r="H4" s="5" t="s">
        <v>488</v>
      </c>
      <c r="I4" s="5" t="s">
        <v>261</v>
      </c>
      <c r="J4" s="30" t="s">
        <v>489</v>
      </c>
      <c r="K4" s="30">
        <v>5</v>
      </c>
      <c r="L4" s="29">
        <v>4000000</v>
      </c>
    </row>
    <row r="5" spans="1:12">
      <c r="A5" s="2" t="s">
        <v>490</v>
      </c>
      <c r="B5" s="2">
        <v>24</v>
      </c>
      <c r="C5" s="2">
        <v>9</v>
      </c>
      <c r="D5" s="2">
        <v>5</v>
      </c>
      <c r="E5" s="2">
        <f t="shared" si="0"/>
        <v>81</v>
      </c>
      <c r="F5" s="98" t="str">
        <f t="shared" si="1"/>
        <v>결승진출</v>
      </c>
      <c r="G5" s="7"/>
      <c r="H5" s="5" t="s">
        <v>491</v>
      </c>
      <c r="I5" s="5" t="s">
        <v>186</v>
      </c>
      <c r="J5" s="30" t="s">
        <v>489</v>
      </c>
      <c r="K5" s="30">
        <v>5</v>
      </c>
      <c r="L5" s="29">
        <v>4000000</v>
      </c>
    </row>
    <row r="6" spans="1:12">
      <c r="A6" s="2" t="s">
        <v>492</v>
      </c>
      <c r="B6" s="2">
        <v>14</v>
      </c>
      <c r="C6" s="2">
        <v>12</v>
      </c>
      <c r="D6" s="2">
        <v>12</v>
      </c>
      <c r="E6" s="2">
        <f t="shared" si="0"/>
        <v>54</v>
      </c>
      <c r="F6" s="98" t="str">
        <f t="shared" si="1"/>
        <v/>
      </c>
      <c r="G6" s="7"/>
      <c r="H6" s="5" t="s">
        <v>493</v>
      </c>
      <c r="I6" s="5" t="s">
        <v>261</v>
      </c>
      <c r="J6" s="30" t="s">
        <v>494</v>
      </c>
      <c r="K6" s="30">
        <v>3</v>
      </c>
      <c r="L6" s="29">
        <v>4600000</v>
      </c>
    </row>
    <row r="7" spans="1:12">
      <c r="A7" s="2" t="s">
        <v>495</v>
      </c>
      <c r="B7" s="2">
        <v>9</v>
      </c>
      <c r="C7" s="2">
        <v>13</v>
      </c>
      <c r="D7" s="2">
        <v>16</v>
      </c>
      <c r="E7" s="2">
        <f t="shared" si="0"/>
        <v>40</v>
      </c>
      <c r="F7" s="98" t="str">
        <f t="shared" si="1"/>
        <v/>
      </c>
      <c r="G7" s="7"/>
      <c r="H7" s="5" t="s">
        <v>496</v>
      </c>
      <c r="I7" s="5" t="s">
        <v>186</v>
      </c>
      <c r="J7" s="30" t="s">
        <v>494</v>
      </c>
      <c r="K7" s="30">
        <v>2</v>
      </c>
      <c r="L7" s="29">
        <v>4500000</v>
      </c>
    </row>
    <row r="8" spans="1:12">
      <c r="A8" s="2" t="s">
        <v>497</v>
      </c>
      <c r="B8" s="2">
        <v>14</v>
      </c>
      <c r="C8" s="2">
        <v>9</v>
      </c>
      <c r="D8" s="2">
        <v>15</v>
      </c>
      <c r="E8" s="2">
        <f t="shared" si="0"/>
        <v>51</v>
      </c>
      <c r="F8" s="98" t="str">
        <f t="shared" si="1"/>
        <v/>
      </c>
      <c r="G8" s="7"/>
      <c r="H8" s="5" t="s">
        <v>498</v>
      </c>
      <c r="I8" s="5" t="s">
        <v>261</v>
      </c>
      <c r="J8" s="30" t="s">
        <v>232</v>
      </c>
      <c r="K8" s="30">
        <v>1</v>
      </c>
      <c r="L8" s="29">
        <v>3200000</v>
      </c>
    </row>
    <row r="9" spans="1:12">
      <c r="A9" s="2" t="s">
        <v>499</v>
      </c>
      <c r="B9" s="2">
        <v>8</v>
      </c>
      <c r="C9" s="2">
        <v>16</v>
      </c>
      <c r="D9" s="2">
        <v>14</v>
      </c>
      <c r="E9" s="2">
        <f t="shared" si="0"/>
        <v>40</v>
      </c>
      <c r="F9" s="98" t="str">
        <f t="shared" si="1"/>
        <v/>
      </c>
      <c r="G9" s="7"/>
      <c r="H9" s="5" t="s">
        <v>500</v>
      </c>
      <c r="I9" s="5" t="s">
        <v>186</v>
      </c>
      <c r="J9" s="30" t="s">
        <v>494</v>
      </c>
      <c r="K9" s="30">
        <v>3</v>
      </c>
      <c r="L9" s="29">
        <v>4600000</v>
      </c>
    </row>
    <row r="10" spans="1:12">
      <c r="A10" s="2" t="s">
        <v>501</v>
      </c>
      <c r="B10" s="2">
        <v>17</v>
      </c>
      <c r="C10" s="2">
        <v>9</v>
      </c>
      <c r="D10" s="2">
        <v>12</v>
      </c>
      <c r="E10" s="2">
        <f t="shared" si="0"/>
        <v>60</v>
      </c>
      <c r="F10" s="98" t="str">
        <f t="shared" si="1"/>
        <v>결승진출</v>
      </c>
      <c r="G10" s="7"/>
      <c r="H10" s="5" t="s">
        <v>502</v>
      </c>
      <c r="I10" s="5" t="s">
        <v>186</v>
      </c>
      <c r="J10" s="30" t="s">
        <v>232</v>
      </c>
      <c r="K10" s="30">
        <v>2</v>
      </c>
      <c r="L10" s="29">
        <v>3400000</v>
      </c>
    </row>
    <row r="11" spans="1:12">
      <c r="A11" s="2" t="s">
        <v>503</v>
      </c>
      <c r="B11" s="2">
        <v>13</v>
      </c>
      <c r="C11" s="2">
        <v>11</v>
      </c>
      <c r="D11" s="2">
        <v>14</v>
      </c>
      <c r="E11" s="2">
        <f t="shared" si="0"/>
        <v>50</v>
      </c>
      <c r="F11" s="98" t="str">
        <f t="shared" si="1"/>
        <v/>
      </c>
      <c r="G11" s="7"/>
      <c r="H11" s="5" t="s">
        <v>504</v>
      </c>
      <c r="I11" s="5" t="s">
        <v>186</v>
      </c>
      <c r="J11" s="30" t="s">
        <v>489</v>
      </c>
      <c r="K11" s="30">
        <v>4</v>
      </c>
      <c r="L11" s="29">
        <v>3800000</v>
      </c>
    </row>
    <row r="12" spans="1:12">
      <c r="A12" s="2" t="s">
        <v>505</v>
      </c>
      <c r="B12" s="2">
        <v>7</v>
      </c>
      <c r="C12" s="2">
        <v>13</v>
      </c>
      <c r="D12" s="2">
        <v>18</v>
      </c>
      <c r="E12" s="2">
        <f t="shared" si="0"/>
        <v>34</v>
      </c>
      <c r="F12" s="98" t="str">
        <f t="shared" si="1"/>
        <v/>
      </c>
      <c r="G12" s="7"/>
      <c r="H12" s="119" t="s">
        <v>506</v>
      </c>
      <c r="I12" s="120"/>
      <c r="J12" s="120"/>
      <c r="K12" s="121"/>
      <c r="L12" s="101">
        <f>ROUND(AVERAGEIFS(L3:L11,I3:I11,"여",J3:J11,"과장"),-4)</f>
        <v>4550000</v>
      </c>
    </row>
    <row r="13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6" t="s">
        <v>246</v>
      </c>
      <c r="B14" s="31" t="s">
        <v>507</v>
      </c>
      <c r="C14" s="7"/>
      <c r="D14" s="7"/>
      <c r="E14" s="7"/>
      <c r="F14" s="7"/>
      <c r="G14" s="7"/>
      <c r="H14" s="26" t="s">
        <v>508</v>
      </c>
      <c r="I14" s="31" t="s">
        <v>509</v>
      </c>
      <c r="J14" s="7"/>
      <c r="K14" s="7"/>
      <c r="L14" s="7"/>
    </row>
    <row r="15" spans="1:12">
      <c r="A15" s="2" t="s">
        <v>360</v>
      </c>
      <c r="B15" s="2" t="s">
        <v>510</v>
      </c>
      <c r="C15" s="2" t="s">
        <v>511</v>
      </c>
      <c r="D15" s="2" t="s">
        <v>512</v>
      </c>
      <c r="E15" s="2" t="s">
        <v>513</v>
      </c>
      <c r="F15" s="90" t="s">
        <v>514</v>
      </c>
      <c r="G15" s="7"/>
      <c r="H15" s="2" t="s">
        <v>515</v>
      </c>
      <c r="I15" s="2" t="s">
        <v>516</v>
      </c>
      <c r="J15" s="2" t="s">
        <v>517</v>
      </c>
      <c r="K15" s="90" t="s">
        <v>518</v>
      </c>
      <c r="L15" s="7"/>
    </row>
    <row r="16" spans="1:12">
      <c r="A16" s="5" t="s">
        <v>519</v>
      </c>
      <c r="B16" s="5" t="s">
        <v>154</v>
      </c>
      <c r="C16" s="5" t="s">
        <v>154</v>
      </c>
      <c r="D16" s="5"/>
      <c r="E16" s="5" t="s">
        <v>154</v>
      </c>
      <c r="F16" s="102" t="str">
        <f>CHOOSE(COUNTA(B16:E16),"25%","50%","75%","100%")</f>
        <v>75%</v>
      </c>
      <c r="G16" s="7"/>
      <c r="H16" s="2">
        <v>1001</v>
      </c>
      <c r="I16" s="2">
        <v>29</v>
      </c>
      <c r="J16" s="49">
        <v>4.7222222222222221E-2</v>
      </c>
      <c r="K16" s="103" t="str">
        <f>IF(J16&lt;=SMALL($J$16:$J$24,3),"입상","")</f>
        <v>입상</v>
      </c>
      <c r="L16" s="7"/>
    </row>
    <row r="17" spans="1:12">
      <c r="A17" s="5" t="s">
        <v>520</v>
      </c>
      <c r="B17" s="5"/>
      <c r="C17" s="5" t="s">
        <v>521</v>
      </c>
      <c r="D17" s="5" t="s">
        <v>154</v>
      </c>
      <c r="E17" s="5" t="s">
        <v>521</v>
      </c>
      <c r="F17" s="102" t="str">
        <f t="shared" ref="F17:F24" si="2">CHOOSE(COUNTA(B17:E17),"25%","50%","75%","100%")</f>
        <v>75%</v>
      </c>
      <c r="G17" s="7"/>
      <c r="H17" s="2">
        <v>1002</v>
      </c>
      <c r="I17" s="2">
        <v>43</v>
      </c>
      <c r="J17" s="49">
        <v>6.3888888888888884E-2</v>
      </c>
      <c r="K17" s="103" t="str">
        <f t="shared" ref="K17:K24" si="3">IF(J17&lt;=SMALL($J$16:$J$24,3),"입상","")</f>
        <v/>
      </c>
      <c r="L17" s="7"/>
    </row>
    <row r="18" spans="1:12">
      <c r="A18" s="5" t="s">
        <v>522</v>
      </c>
      <c r="B18" s="5" t="s">
        <v>154</v>
      </c>
      <c r="C18" s="5" t="s">
        <v>154</v>
      </c>
      <c r="D18" s="5" t="s">
        <v>154</v>
      </c>
      <c r="E18" s="5" t="s">
        <v>154</v>
      </c>
      <c r="F18" s="102" t="str">
        <f t="shared" si="2"/>
        <v>100%</v>
      </c>
      <c r="G18" s="7"/>
      <c r="H18" s="2">
        <v>1003</v>
      </c>
      <c r="I18" s="2">
        <v>52</v>
      </c>
      <c r="J18" s="49">
        <v>5.8333333333333327E-2</v>
      </c>
      <c r="K18" s="103" t="str">
        <f t="shared" si="3"/>
        <v/>
      </c>
      <c r="L18" s="7"/>
    </row>
    <row r="19" spans="1:12">
      <c r="A19" s="5" t="s">
        <v>523</v>
      </c>
      <c r="B19" s="5" t="s">
        <v>154</v>
      </c>
      <c r="C19" s="5"/>
      <c r="D19" s="5" t="s">
        <v>154</v>
      </c>
      <c r="E19" s="5"/>
      <c r="F19" s="102" t="str">
        <f t="shared" si="2"/>
        <v>50%</v>
      </c>
      <c r="G19" s="7"/>
      <c r="H19" s="2">
        <v>1004</v>
      </c>
      <c r="I19" s="2">
        <v>35</v>
      </c>
      <c r="J19" s="49">
        <v>5.6250000000000001E-2</v>
      </c>
      <c r="K19" s="103" t="str">
        <f t="shared" si="3"/>
        <v/>
      </c>
      <c r="L19" s="7"/>
    </row>
    <row r="20" spans="1:12">
      <c r="A20" s="5" t="s">
        <v>524</v>
      </c>
      <c r="B20" s="5" t="s">
        <v>521</v>
      </c>
      <c r="C20" s="5" t="s">
        <v>154</v>
      </c>
      <c r="D20" s="5"/>
      <c r="E20" s="5" t="s">
        <v>154</v>
      </c>
      <c r="F20" s="102" t="str">
        <f t="shared" si="2"/>
        <v>75%</v>
      </c>
      <c r="G20" s="7"/>
      <c r="H20" s="2">
        <v>1005</v>
      </c>
      <c r="I20" s="2">
        <v>31</v>
      </c>
      <c r="J20" s="49">
        <v>4.3750000000000004E-2</v>
      </c>
      <c r="K20" s="103" t="str">
        <f t="shared" si="3"/>
        <v>입상</v>
      </c>
      <c r="L20" s="7"/>
    </row>
    <row r="21" spans="1:12">
      <c r="A21" s="5" t="s">
        <v>525</v>
      </c>
      <c r="B21" s="5" t="s">
        <v>154</v>
      </c>
      <c r="C21" s="5" t="s">
        <v>154</v>
      </c>
      <c r="D21" s="5" t="s">
        <v>154</v>
      </c>
      <c r="E21" s="5"/>
      <c r="F21" s="102" t="str">
        <f t="shared" si="2"/>
        <v>75%</v>
      </c>
      <c r="G21" s="7"/>
      <c r="H21" s="2">
        <v>1006</v>
      </c>
      <c r="I21" s="2">
        <v>34</v>
      </c>
      <c r="J21" s="49">
        <v>5.2083333333333336E-2</v>
      </c>
      <c r="K21" s="103" t="str">
        <f t="shared" si="3"/>
        <v>입상</v>
      </c>
      <c r="L21" s="7"/>
    </row>
    <row r="22" spans="1:12">
      <c r="A22" s="5" t="s">
        <v>526</v>
      </c>
      <c r="B22" s="5"/>
      <c r="C22" s="5" t="s">
        <v>154</v>
      </c>
      <c r="D22" s="5"/>
      <c r="E22" s="5"/>
      <c r="F22" s="102" t="str">
        <f t="shared" si="2"/>
        <v>25%</v>
      </c>
      <c r="G22" s="7"/>
      <c r="H22" s="2">
        <v>1007</v>
      </c>
      <c r="I22" s="2">
        <v>28</v>
      </c>
      <c r="J22" s="49">
        <v>5.9722222222222225E-2</v>
      </c>
      <c r="K22" s="103" t="str">
        <f t="shared" si="3"/>
        <v/>
      </c>
      <c r="L22" s="7"/>
    </row>
    <row r="23" spans="1:12">
      <c r="A23" s="5" t="s">
        <v>527</v>
      </c>
      <c r="B23" s="5" t="s">
        <v>154</v>
      </c>
      <c r="C23" s="5" t="s">
        <v>154</v>
      </c>
      <c r="D23" s="5" t="s">
        <v>154</v>
      </c>
      <c r="E23" s="5" t="s">
        <v>154</v>
      </c>
      <c r="F23" s="102" t="str">
        <f t="shared" si="2"/>
        <v>100%</v>
      </c>
      <c r="G23" s="7"/>
      <c r="H23" s="2">
        <v>1008</v>
      </c>
      <c r="I23" s="2">
        <v>42</v>
      </c>
      <c r="J23" s="49">
        <v>5.486111111111111E-2</v>
      </c>
      <c r="K23" s="103" t="str">
        <f t="shared" si="3"/>
        <v/>
      </c>
      <c r="L23" s="7"/>
    </row>
    <row r="24" spans="1:12">
      <c r="A24" s="5" t="s">
        <v>528</v>
      </c>
      <c r="B24" s="5"/>
      <c r="C24" s="5" t="s">
        <v>154</v>
      </c>
      <c r="D24" s="5"/>
      <c r="E24" s="5" t="s">
        <v>154</v>
      </c>
      <c r="F24" s="102" t="str">
        <f t="shared" si="2"/>
        <v>50%</v>
      </c>
      <c r="G24" s="7"/>
      <c r="H24" s="2">
        <v>1009</v>
      </c>
      <c r="I24" s="2">
        <v>44</v>
      </c>
      <c r="J24" s="49">
        <v>5.6250000000000001E-2</v>
      </c>
      <c r="K24" s="103" t="str">
        <f t="shared" si="3"/>
        <v/>
      </c>
      <c r="L24" s="7"/>
    </row>
    <row r="25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6" t="s">
        <v>529</v>
      </c>
      <c r="B26" s="17"/>
      <c r="C26" s="17"/>
      <c r="D26" s="7"/>
      <c r="E26" s="7"/>
      <c r="F26" s="7"/>
      <c r="G26" s="7"/>
      <c r="H26" s="26" t="s">
        <v>171</v>
      </c>
      <c r="I26" s="7" t="s">
        <v>530</v>
      </c>
      <c r="J26" s="7"/>
      <c r="K26" s="51" t="s">
        <v>531</v>
      </c>
      <c r="L26" s="51"/>
    </row>
    <row r="27" spans="1:12">
      <c r="A27" s="52" t="s">
        <v>532</v>
      </c>
      <c r="B27" s="52" t="s">
        <v>533</v>
      </c>
      <c r="C27" s="52" t="s">
        <v>534</v>
      </c>
      <c r="D27" s="7"/>
      <c r="E27" s="7"/>
      <c r="F27" s="7"/>
      <c r="G27" s="7"/>
      <c r="H27" s="53" t="s">
        <v>535</v>
      </c>
      <c r="I27" s="53" t="s">
        <v>536</v>
      </c>
      <c r="J27" s="53" t="s">
        <v>537</v>
      </c>
      <c r="K27" s="53" t="s">
        <v>538</v>
      </c>
      <c r="L27" s="7"/>
    </row>
    <row r="28" spans="1:12">
      <c r="A28" s="54" t="s">
        <v>539</v>
      </c>
      <c r="B28" s="55" t="s">
        <v>540</v>
      </c>
      <c r="C28" s="56">
        <v>193908</v>
      </c>
      <c r="D28" s="7"/>
      <c r="E28" s="7"/>
      <c r="F28" s="7"/>
      <c r="G28" s="7"/>
      <c r="H28" s="53" t="s">
        <v>541</v>
      </c>
      <c r="I28" s="53"/>
      <c r="J28" s="53" t="s">
        <v>542</v>
      </c>
      <c r="K28" s="2" t="s">
        <v>542</v>
      </c>
      <c r="L28" s="7"/>
    </row>
    <row r="29" spans="1:12">
      <c r="A29" s="54" t="s">
        <v>543</v>
      </c>
      <c r="B29" s="2" t="s">
        <v>544</v>
      </c>
      <c r="C29" s="56"/>
      <c r="D29" s="7"/>
      <c r="E29" s="7"/>
      <c r="F29" s="7"/>
      <c r="G29" s="7"/>
      <c r="H29" s="53" t="s">
        <v>545</v>
      </c>
      <c r="I29" s="53"/>
      <c r="J29" s="53"/>
      <c r="K29" s="2"/>
      <c r="L29" s="7"/>
    </row>
    <row r="30" spans="1:12">
      <c r="A30" s="54" t="s">
        <v>546</v>
      </c>
      <c r="B30" s="2" t="s">
        <v>547</v>
      </c>
      <c r="C30" s="56"/>
      <c r="D30" s="7"/>
      <c r="E30" s="7"/>
      <c r="F30" s="7"/>
      <c r="G30" s="7"/>
      <c r="H30" s="53" t="s">
        <v>548</v>
      </c>
      <c r="I30" s="53" t="s">
        <v>542</v>
      </c>
      <c r="J30" s="53"/>
      <c r="K30" s="2"/>
      <c r="L30" s="7"/>
    </row>
    <row r="31" spans="1:12">
      <c r="A31" s="54" t="s">
        <v>549</v>
      </c>
      <c r="B31" s="2" t="s">
        <v>550</v>
      </c>
      <c r="C31" s="56">
        <v>2697000</v>
      </c>
      <c r="D31" s="7"/>
      <c r="E31" s="7"/>
      <c r="F31" s="7"/>
      <c r="G31" s="7"/>
      <c r="H31" s="53" t="s">
        <v>551</v>
      </c>
      <c r="I31" s="53"/>
      <c r="J31" s="53"/>
      <c r="K31" s="2" t="s">
        <v>542</v>
      </c>
      <c r="L31" s="7"/>
    </row>
    <row r="32" spans="1:12">
      <c r="A32" s="54" t="s">
        <v>552</v>
      </c>
      <c r="B32" s="2" t="s">
        <v>553</v>
      </c>
      <c r="C32" s="56"/>
      <c r="D32" s="7"/>
      <c r="E32" s="7"/>
      <c r="F32" s="7"/>
      <c r="G32" s="7"/>
      <c r="H32" s="53" t="s">
        <v>554</v>
      </c>
      <c r="I32" s="53" t="s">
        <v>542</v>
      </c>
      <c r="J32" s="53"/>
      <c r="K32" s="2"/>
      <c r="L32" s="7"/>
    </row>
    <row r="33" spans="1:12">
      <c r="A33" s="54" t="s">
        <v>555</v>
      </c>
      <c r="B33" s="2" t="s">
        <v>556</v>
      </c>
      <c r="C33" s="56">
        <v>5000000</v>
      </c>
      <c r="D33" s="7"/>
      <c r="E33" s="7"/>
      <c r="F33" s="7"/>
      <c r="G33" s="7"/>
      <c r="H33" s="53" t="s">
        <v>557</v>
      </c>
      <c r="I33" s="53"/>
      <c r="J33" s="53"/>
      <c r="K33" s="2"/>
      <c r="L33" s="7"/>
    </row>
    <row r="34" spans="1:12">
      <c r="A34" s="135" t="s">
        <v>558</v>
      </c>
      <c r="B34" s="135"/>
      <c r="C34" s="104" t="str">
        <f>COUNT(C28:C33)&amp;"건"</f>
        <v>3건</v>
      </c>
      <c r="D34" s="7"/>
      <c r="E34" s="7"/>
      <c r="F34" s="7"/>
      <c r="G34" s="7"/>
      <c r="H34" s="57" t="s">
        <v>559</v>
      </c>
      <c r="I34" s="57" t="s">
        <v>542</v>
      </c>
      <c r="J34" s="57" t="s">
        <v>542</v>
      </c>
      <c r="K34" s="1" t="s">
        <v>542</v>
      </c>
      <c r="L34" s="7"/>
    </row>
    <row r="35" spans="1:1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>
      <c r="A36" s="7"/>
      <c r="B36" s="7"/>
      <c r="C36" s="7"/>
      <c r="D36" s="7"/>
      <c r="E36" s="7"/>
      <c r="F36" s="7"/>
      <c r="G36" s="7"/>
      <c r="H36" s="136" t="s">
        <v>560</v>
      </c>
      <c r="I36" s="137"/>
      <c r="J36" s="98" t="str">
        <f>COUNTBLANK(I28:K34) &amp; "회"</f>
        <v>13회</v>
      </c>
      <c r="K36" s="7"/>
      <c r="L36" s="7"/>
    </row>
  </sheetData>
  <mergeCells count="3">
    <mergeCell ref="H12:K12"/>
    <mergeCell ref="A34:B34"/>
    <mergeCell ref="H36:I36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defaultRowHeight="17"/>
  <cols>
    <col min="1" max="1" width="10.25" bestFit="1" customWidth="1"/>
    <col min="3" max="3" width="15.83203125" bestFit="1" customWidth="1"/>
    <col min="4" max="4" width="11" customWidth="1"/>
    <col min="5" max="5" width="1.58203125" customWidth="1"/>
    <col min="7" max="7" width="14.58203125" bestFit="1" customWidth="1"/>
    <col min="8" max="11" width="10.83203125" bestFit="1" customWidth="1"/>
  </cols>
  <sheetData>
    <row r="1" spans="1:12">
      <c r="A1" s="26" t="s">
        <v>65</v>
      </c>
      <c r="B1" s="45"/>
      <c r="C1" s="45"/>
      <c r="D1" s="45"/>
      <c r="E1" s="26"/>
      <c r="F1" s="26" t="s">
        <v>67</v>
      </c>
      <c r="G1" s="27" t="s">
        <v>562</v>
      </c>
      <c r="H1" s="26"/>
      <c r="I1" s="26"/>
      <c r="J1" s="26"/>
      <c r="K1" s="26"/>
      <c r="L1" s="26"/>
    </row>
    <row r="2" spans="1:12">
      <c r="A2" s="86" t="s">
        <v>563</v>
      </c>
      <c r="B2" s="86" t="s">
        <v>400</v>
      </c>
      <c r="C2" s="86" t="s">
        <v>565</v>
      </c>
      <c r="D2" s="91" t="s">
        <v>566</v>
      </c>
      <c r="E2" s="26"/>
      <c r="F2" s="86" t="s">
        <v>250</v>
      </c>
      <c r="G2" s="86" t="s">
        <v>567</v>
      </c>
      <c r="H2" s="86" t="s">
        <v>568</v>
      </c>
      <c r="I2" s="91" t="s">
        <v>252</v>
      </c>
      <c r="J2" s="26"/>
      <c r="K2" s="26"/>
      <c r="L2" s="26"/>
    </row>
    <row r="3" spans="1:12">
      <c r="A3" s="58" t="s">
        <v>570</v>
      </c>
      <c r="B3" s="86" t="s">
        <v>571</v>
      </c>
      <c r="C3" s="86" t="s">
        <v>572</v>
      </c>
      <c r="D3" s="86"/>
      <c r="E3" s="26"/>
      <c r="F3" s="86" t="s">
        <v>573</v>
      </c>
      <c r="G3" s="86">
        <v>5</v>
      </c>
      <c r="H3" s="88">
        <v>2310000</v>
      </c>
      <c r="I3" s="86"/>
      <c r="J3" s="26"/>
      <c r="K3" s="26"/>
      <c r="L3" s="26"/>
    </row>
    <row r="4" spans="1:12">
      <c r="A4" s="58" t="s">
        <v>574</v>
      </c>
      <c r="B4" s="86" t="s">
        <v>575</v>
      </c>
      <c r="C4" s="86" t="s">
        <v>576</v>
      </c>
      <c r="D4" s="86"/>
      <c r="E4" s="26"/>
      <c r="F4" s="86" t="s">
        <v>577</v>
      </c>
      <c r="G4" s="86">
        <v>4</v>
      </c>
      <c r="H4" s="88">
        <v>3564000</v>
      </c>
      <c r="I4" s="86"/>
      <c r="J4" s="26"/>
      <c r="K4" s="26"/>
      <c r="L4" s="26"/>
    </row>
    <row r="5" spans="1:12">
      <c r="A5" s="58" t="s">
        <v>578</v>
      </c>
      <c r="B5" s="86" t="s">
        <v>579</v>
      </c>
      <c r="C5" s="86" t="s">
        <v>580</v>
      </c>
      <c r="D5" s="86"/>
      <c r="E5" s="26"/>
      <c r="F5" s="86" t="s">
        <v>581</v>
      </c>
      <c r="G5" s="86">
        <v>3</v>
      </c>
      <c r="H5" s="88">
        <v>1200000</v>
      </c>
      <c r="I5" s="86"/>
      <c r="J5" s="26"/>
      <c r="K5" s="138" t="s">
        <v>582</v>
      </c>
      <c r="L5" s="138"/>
    </row>
    <row r="6" spans="1:12">
      <c r="A6" s="58" t="s">
        <v>583</v>
      </c>
      <c r="B6" s="86" t="s">
        <v>584</v>
      </c>
      <c r="C6" s="86" t="s">
        <v>585</v>
      </c>
      <c r="D6" s="86"/>
      <c r="E6" s="26"/>
      <c r="F6" s="86" t="s">
        <v>586</v>
      </c>
      <c r="G6" s="86">
        <v>7</v>
      </c>
      <c r="H6" s="88">
        <v>3756000</v>
      </c>
      <c r="I6" s="86"/>
      <c r="J6" s="26"/>
      <c r="K6" s="86" t="s">
        <v>587</v>
      </c>
      <c r="L6" s="86" t="s">
        <v>252</v>
      </c>
    </row>
    <row r="7" spans="1:12">
      <c r="A7" s="58" t="s">
        <v>589</v>
      </c>
      <c r="B7" s="86" t="s">
        <v>590</v>
      </c>
      <c r="C7" s="87" t="s">
        <v>591</v>
      </c>
      <c r="D7" s="86"/>
      <c r="E7" s="26"/>
      <c r="F7" s="86" t="s">
        <v>592</v>
      </c>
      <c r="G7" s="86">
        <v>9</v>
      </c>
      <c r="H7" s="88">
        <v>5550000</v>
      </c>
      <c r="I7" s="86"/>
      <c r="J7" s="26"/>
      <c r="K7" s="88">
        <v>1000000</v>
      </c>
      <c r="L7" s="86" t="s">
        <v>268</v>
      </c>
    </row>
    <row r="8" spans="1:12">
      <c r="A8" s="58" t="s">
        <v>594</v>
      </c>
      <c r="B8" s="86" t="s">
        <v>595</v>
      </c>
      <c r="C8" s="86" t="s">
        <v>596</v>
      </c>
      <c r="D8" s="86"/>
      <c r="E8" s="26"/>
      <c r="F8" s="86" t="s">
        <v>384</v>
      </c>
      <c r="G8" s="86">
        <v>11</v>
      </c>
      <c r="H8" s="88">
        <v>7542000</v>
      </c>
      <c r="I8" s="86"/>
      <c r="J8" s="26"/>
      <c r="K8" s="88">
        <v>3000000</v>
      </c>
      <c r="L8" s="86" t="s">
        <v>597</v>
      </c>
    </row>
    <row r="9" spans="1:12">
      <c r="A9" s="58" t="s">
        <v>598</v>
      </c>
      <c r="B9" s="86" t="s">
        <v>599</v>
      </c>
      <c r="C9" s="86" t="s">
        <v>600</v>
      </c>
      <c r="D9" s="86"/>
      <c r="E9" s="26"/>
      <c r="F9" s="86" t="s">
        <v>601</v>
      </c>
      <c r="G9" s="86">
        <v>8</v>
      </c>
      <c r="H9" s="88">
        <v>4685000</v>
      </c>
      <c r="I9" s="86"/>
      <c r="J9" s="26"/>
      <c r="K9" s="88">
        <v>5000000</v>
      </c>
      <c r="L9" s="86" t="s">
        <v>262</v>
      </c>
    </row>
    <row r="10" spans="1:12">
      <c r="A10" s="58" t="s">
        <v>602</v>
      </c>
      <c r="B10" s="86" t="s">
        <v>603</v>
      </c>
      <c r="C10" s="86" t="s">
        <v>604</v>
      </c>
      <c r="D10" s="86"/>
      <c r="E10" s="26"/>
      <c r="F10" s="86" t="s">
        <v>605</v>
      </c>
      <c r="G10" s="86">
        <v>10</v>
      </c>
      <c r="H10" s="88">
        <v>4112000</v>
      </c>
      <c r="I10" s="86"/>
      <c r="J10" s="26"/>
      <c r="K10" s="88">
        <v>7000000</v>
      </c>
      <c r="L10" s="86" t="s">
        <v>282</v>
      </c>
    </row>
    <row r="11" spans="1:12">
      <c r="A11" s="26"/>
      <c r="B11" s="26"/>
      <c r="C11" s="26"/>
      <c r="D11" s="26"/>
      <c r="E11" s="26"/>
      <c r="F11" s="14"/>
      <c r="G11" s="14"/>
      <c r="H11" s="60"/>
      <c r="I11" s="14"/>
      <c r="J11" s="26"/>
      <c r="K11" s="60"/>
      <c r="L11" s="14"/>
    </row>
    <row r="12" spans="1:12">
      <c r="A12" s="26" t="s">
        <v>112</v>
      </c>
      <c r="B12" s="27" t="s">
        <v>608</v>
      </c>
      <c r="C12" s="26"/>
      <c r="D12" s="26"/>
      <c r="E12" s="26"/>
      <c r="F12" s="26" t="s">
        <v>114</v>
      </c>
      <c r="G12" s="27" t="s">
        <v>609</v>
      </c>
      <c r="H12" s="26"/>
      <c r="I12" s="26"/>
      <c r="J12" s="26"/>
      <c r="K12" s="26"/>
      <c r="L12" s="26"/>
    </row>
    <row r="13" spans="1:12">
      <c r="A13" s="86" t="s">
        <v>610</v>
      </c>
      <c r="B13" s="86" t="s">
        <v>611</v>
      </c>
      <c r="C13" s="86" t="s">
        <v>76</v>
      </c>
      <c r="D13" s="91" t="s">
        <v>77</v>
      </c>
      <c r="E13" s="26"/>
      <c r="F13" s="86" t="s">
        <v>75</v>
      </c>
      <c r="G13" s="86" t="s">
        <v>614</v>
      </c>
      <c r="H13" s="86" t="s">
        <v>482</v>
      </c>
      <c r="I13" s="86" t="s">
        <v>616</v>
      </c>
      <c r="J13" s="91" t="s">
        <v>617</v>
      </c>
      <c r="K13" s="26"/>
      <c r="L13" s="26"/>
    </row>
    <row r="14" spans="1:12">
      <c r="A14" s="86" t="s">
        <v>618</v>
      </c>
      <c r="B14" s="86" t="s">
        <v>619</v>
      </c>
      <c r="C14" s="30">
        <v>315</v>
      </c>
      <c r="D14" s="28"/>
      <c r="E14" s="26"/>
      <c r="F14" s="86" t="s">
        <v>620</v>
      </c>
      <c r="G14" s="86" t="s">
        <v>368</v>
      </c>
      <c r="H14" s="86" t="s">
        <v>369</v>
      </c>
      <c r="I14" s="28">
        <v>500000</v>
      </c>
      <c r="J14" s="28"/>
      <c r="K14" s="26"/>
      <c r="L14" s="26"/>
    </row>
    <row r="15" spans="1:12">
      <c r="A15" s="86" t="s">
        <v>618</v>
      </c>
      <c r="B15" s="86" t="s">
        <v>623</v>
      </c>
      <c r="C15" s="30">
        <v>294</v>
      </c>
      <c r="D15" s="28"/>
      <c r="E15" s="26"/>
      <c r="F15" s="86" t="s">
        <v>624</v>
      </c>
      <c r="G15" s="86" t="s">
        <v>625</v>
      </c>
      <c r="H15" s="86" t="s">
        <v>232</v>
      </c>
      <c r="I15" s="28">
        <v>300000</v>
      </c>
      <c r="J15" s="28"/>
      <c r="K15" s="26"/>
      <c r="L15" s="26"/>
    </row>
    <row r="16" spans="1:12">
      <c r="A16" s="86" t="s">
        <v>618</v>
      </c>
      <c r="B16" s="86" t="s">
        <v>619</v>
      </c>
      <c r="C16" s="30">
        <v>357</v>
      </c>
      <c r="D16" s="28"/>
      <c r="E16" s="26"/>
      <c r="F16" s="86" t="s">
        <v>627</v>
      </c>
      <c r="G16" s="86" t="s">
        <v>628</v>
      </c>
      <c r="H16" s="86" t="s">
        <v>238</v>
      </c>
      <c r="I16" s="28">
        <v>250000</v>
      </c>
      <c r="J16" s="28"/>
      <c r="K16" s="26"/>
      <c r="L16" s="26"/>
    </row>
    <row r="17" spans="1:12">
      <c r="A17" s="86" t="s">
        <v>630</v>
      </c>
      <c r="B17" s="86" t="s">
        <v>623</v>
      </c>
      <c r="C17" s="30">
        <v>248</v>
      </c>
      <c r="D17" s="28"/>
      <c r="E17" s="26"/>
      <c r="F17" s="86" t="s">
        <v>632</v>
      </c>
      <c r="G17" s="86" t="s">
        <v>368</v>
      </c>
      <c r="H17" s="86" t="s">
        <v>232</v>
      </c>
      <c r="I17" s="28">
        <v>300000</v>
      </c>
      <c r="J17" s="28"/>
      <c r="K17" s="26"/>
      <c r="L17" s="26"/>
    </row>
    <row r="18" spans="1:12">
      <c r="A18" s="86" t="s">
        <v>630</v>
      </c>
      <c r="B18" s="86" t="s">
        <v>635</v>
      </c>
      <c r="C18" s="30">
        <v>323</v>
      </c>
      <c r="D18" s="28"/>
      <c r="E18" s="26"/>
      <c r="F18" s="86" t="s">
        <v>636</v>
      </c>
      <c r="G18" s="86" t="s">
        <v>625</v>
      </c>
      <c r="H18" s="86" t="s">
        <v>238</v>
      </c>
      <c r="I18" s="28">
        <v>250000</v>
      </c>
      <c r="J18" s="28"/>
      <c r="K18" s="26"/>
      <c r="L18" s="26"/>
    </row>
    <row r="19" spans="1:12">
      <c r="A19" s="86" t="s">
        <v>630</v>
      </c>
      <c r="B19" s="86" t="s">
        <v>623</v>
      </c>
      <c r="C19" s="30">
        <v>355</v>
      </c>
      <c r="D19" s="28"/>
      <c r="E19" s="26"/>
      <c r="F19" s="86" t="s">
        <v>641</v>
      </c>
      <c r="G19" s="86" t="s">
        <v>137</v>
      </c>
      <c r="H19" s="86" t="s">
        <v>224</v>
      </c>
      <c r="I19" s="28">
        <v>400000</v>
      </c>
      <c r="J19" s="28"/>
      <c r="K19" s="26"/>
      <c r="L19" s="26"/>
    </row>
    <row r="20" spans="1:12">
      <c r="A20" s="86" t="s">
        <v>643</v>
      </c>
      <c r="B20" s="86" t="s">
        <v>619</v>
      </c>
      <c r="C20" s="30">
        <v>385</v>
      </c>
      <c r="D20" s="28"/>
      <c r="E20" s="26"/>
      <c r="F20" s="86" t="s">
        <v>645</v>
      </c>
      <c r="G20" s="86" t="s">
        <v>625</v>
      </c>
      <c r="H20" s="86" t="s">
        <v>238</v>
      </c>
      <c r="I20" s="28">
        <v>250000</v>
      </c>
      <c r="J20" s="28"/>
      <c r="K20" s="26"/>
      <c r="L20" s="26"/>
    </row>
    <row r="21" spans="1:12">
      <c r="A21" s="86" t="s">
        <v>643</v>
      </c>
      <c r="B21" s="86" t="s">
        <v>623</v>
      </c>
      <c r="C21" s="30">
        <v>366</v>
      </c>
      <c r="D21" s="28"/>
      <c r="E21" s="26"/>
      <c r="F21" s="86" t="s">
        <v>648</v>
      </c>
      <c r="G21" s="86" t="s">
        <v>137</v>
      </c>
      <c r="H21" s="86" t="s">
        <v>369</v>
      </c>
      <c r="I21" s="28">
        <v>500000</v>
      </c>
      <c r="J21" s="28"/>
      <c r="K21" s="26"/>
      <c r="L21" s="26"/>
    </row>
    <row r="22" spans="1:12">
      <c r="A22" s="86" t="s">
        <v>643</v>
      </c>
      <c r="B22" s="86" t="s">
        <v>635</v>
      </c>
      <c r="C22" s="30">
        <v>374</v>
      </c>
      <c r="D22" s="28"/>
      <c r="E22" s="26"/>
      <c r="F22" s="86" t="s">
        <v>652</v>
      </c>
      <c r="G22" s="86" t="s">
        <v>368</v>
      </c>
      <c r="H22" s="86" t="s">
        <v>232</v>
      </c>
      <c r="I22" s="28">
        <v>300000</v>
      </c>
      <c r="J22" s="28"/>
      <c r="K22" s="26"/>
      <c r="L22" s="26"/>
    </row>
    <row r="23" spans="1:1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>
      <c r="A24" s="26" t="s">
        <v>653</v>
      </c>
      <c r="B24" s="26"/>
      <c r="C24" s="27"/>
      <c r="D24" s="26"/>
      <c r="E24" s="26"/>
      <c r="F24" s="26" t="s">
        <v>654</v>
      </c>
      <c r="G24" s="26"/>
      <c r="H24" s="26"/>
      <c r="I24" s="26"/>
      <c r="J24" s="26"/>
      <c r="K24" s="26"/>
      <c r="L24" s="26"/>
    </row>
    <row r="25" spans="1:12">
      <c r="A25" s="86" t="s">
        <v>610</v>
      </c>
      <c r="B25" s="86" t="s">
        <v>618</v>
      </c>
      <c r="C25" s="86" t="s">
        <v>630</v>
      </c>
      <c r="D25" s="86" t="s">
        <v>643</v>
      </c>
      <c r="E25" s="26"/>
      <c r="F25" s="86" t="s">
        <v>482</v>
      </c>
      <c r="G25" s="86" t="s">
        <v>238</v>
      </c>
      <c r="H25" s="86" t="s">
        <v>232</v>
      </c>
      <c r="I25" s="86" t="s">
        <v>224</v>
      </c>
      <c r="J25" s="86" t="s">
        <v>369</v>
      </c>
      <c r="K25" s="26"/>
      <c r="L25" s="26"/>
    </row>
    <row r="26" spans="1:12">
      <c r="A26" s="86" t="s">
        <v>123</v>
      </c>
      <c r="B26" s="88">
        <v>30000</v>
      </c>
      <c r="C26" s="88">
        <v>32500</v>
      </c>
      <c r="D26" s="88">
        <v>36000</v>
      </c>
      <c r="E26" s="26"/>
      <c r="F26" s="86" t="s">
        <v>219</v>
      </c>
      <c r="G26" s="28">
        <v>1800000</v>
      </c>
      <c r="H26" s="28">
        <v>2400000</v>
      </c>
      <c r="I26" s="28">
        <v>3000000</v>
      </c>
      <c r="J26" s="28">
        <v>3500000</v>
      </c>
      <c r="K26" s="26"/>
      <c r="L26" s="26"/>
    </row>
    <row r="27" spans="1:12">
      <c r="A27" s="86" t="s">
        <v>661</v>
      </c>
      <c r="B27" s="88">
        <v>25500</v>
      </c>
      <c r="C27" s="88">
        <v>27625</v>
      </c>
      <c r="D27" s="88">
        <v>29520</v>
      </c>
      <c r="E27" s="26"/>
      <c r="F27" s="86" t="s">
        <v>662</v>
      </c>
      <c r="G27" s="28">
        <v>100000</v>
      </c>
      <c r="H27" s="28">
        <v>120000</v>
      </c>
      <c r="I27" s="28">
        <v>150000</v>
      </c>
      <c r="J27" s="28">
        <v>180000</v>
      </c>
      <c r="K27" s="26"/>
      <c r="L27" s="26"/>
    </row>
  </sheetData>
  <mergeCells count="1">
    <mergeCell ref="K5:L5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defaultRowHeight="17"/>
  <cols>
    <col min="1" max="1" width="10.25" bestFit="1" customWidth="1"/>
    <col min="3" max="3" width="15.83203125" bestFit="1" customWidth="1"/>
    <col min="4" max="4" width="11" customWidth="1"/>
    <col min="5" max="5" width="1.58203125" customWidth="1"/>
    <col min="7" max="7" width="14.58203125" bestFit="1" customWidth="1"/>
    <col min="8" max="11" width="10.83203125" bestFit="1" customWidth="1"/>
  </cols>
  <sheetData>
    <row r="1" spans="1:12">
      <c r="A1" s="26" t="s">
        <v>214</v>
      </c>
      <c r="B1" s="45"/>
      <c r="C1" s="45"/>
      <c r="D1" s="45"/>
      <c r="E1" s="26"/>
      <c r="F1" s="26" t="s">
        <v>561</v>
      </c>
      <c r="G1" s="27" t="s">
        <v>562</v>
      </c>
      <c r="H1" s="26"/>
      <c r="I1" s="26"/>
      <c r="J1" s="26"/>
      <c r="K1" s="26"/>
      <c r="L1" s="26"/>
    </row>
    <row r="2" spans="1:12">
      <c r="A2" s="2" t="s">
        <v>563</v>
      </c>
      <c r="B2" s="2" t="s">
        <v>564</v>
      </c>
      <c r="C2" s="2" t="s">
        <v>565</v>
      </c>
      <c r="D2" s="90" t="s">
        <v>566</v>
      </c>
      <c r="E2" s="26"/>
      <c r="F2" s="2" t="s">
        <v>250</v>
      </c>
      <c r="G2" s="2" t="s">
        <v>567</v>
      </c>
      <c r="H2" s="2" t="s">
        <v>568</v>
      </c>
      <c r="I2" s="90" t="s">
        <v>569</v>
      </c>
      <c r="J2" s="26"/>
      <c r="K2" s="26"/>
      <c r="L2" s="26"/>
    </row>
    <row r="3" spans="1:12">
      <c r="A3" s="58" t="s">
        <v>570</v>
      </c>
      <c r="B3" s="2" t="s">
        <v>571</v>
      </c>
      <c r="C3" s="2" t="s">
        <v>572</v>
      </c>
      <c r="D3" s="98" t="str">
        <f>CHOOSE(MID(C3,8,1),"남","여","남","여")</f>
        <v>여</v>
      </c>
      <c r="E3" s="26"/>
      <c r="F3" s="2" t="s">
        <v>573</v>
      </c>
      <c r="G3" s="2">
        <v>5</v>
      </c>
      <c r="H3" s="29">
        <v>2310000</v>
      </c>
      <c r="I3" s="98" t="str">
        <f t="shared" ref="I3:I10" si="0">VLOOKUP(H3,$K$7:$L$10,2)</f>
        <v>일반</v>
      </c>
      <c r="J3" s="26"/>
      <c r="K3" s="26"/>
      <c r="L3" s="26"/>
    </row>
    <row r="4" spans="1:12">
      <c r="A4" s="58" t="s">
        <v>574</v>
      </c>
      <c r="B4" s="2" t="s">
        <v>575</v>
      </c>
      <c r="C4" s="2" t="s">
        <v>576</v>
      </c>
      <c r="D4" s="98" t="str">
        <f t="shared" ref="D4:D10" si="1">CHOOSE(MID(C4,8,1),"남","여","남","여")</f>
        <v>여</v>
      </c>
      <c r="E4" s="26"/>
      <c r="F4" s="2" t="s">
        <v>577</v>
      </c>
      <c r="G4" s="2">
        <v>4</v>
      </c>
      <c r="H4" s="29">
        <v>3564000</v>
      </c>
      <c r="I4" s="98" t="str">
        <f t="shared" si="0"/>
        <v>실버</v>
      </c>
      <c r="J4" s="26"/>
      <c r="K4" s="26"/>
      <c r="L4" s="26"/>
    </row>
    <row r="5" spans="1:12">
      <c r="A5" s="58" t="s">
        <v>578</v>
      </c>
      <c r="B5" s="2" t="s">
        <v>579</v>
      </c>
      <c r="C5" s="2" t="s">
        <v>580</v>
      </c>
      <c r="D5" s="98" t="str">
        <f t="shared" si="1"/>
        <v>남</v>
      </c>
      <c r="E5" s="26"/>
      <c r="F5" s="2" t="s">
        <v>581</v>
      </c>
      <c r="G5" s="2">
        <v>3</v>
      </c>
      <c r="H5" s="29">
        <v>1200000</v>
      </c>
      <c r="I5" s="98" t="str">
        <f t="shared" si="0"/>
        <v>일반</v>
      </c>
      <c r="J5" s="26"/>
      <c r="K5" s="138" t="s">
        <v>582</v>
      </c>
      <c r="L5" s="138"/>
    </row>
    <row r="6" spans="1:12">
      <c r="A6" s="58" t="s">
        <v>583</v>
      </c>
      <c r="B6" s="2" t="s">
        <v>584</v>
      </c>
      <c r="C6" s="2" t="s">
        <v>585</v>
      </c>
      <c r="D6" s="98" t="str">
        <f t="shared" si="1"/>
        <v>남</v>
      </c>
      <c r="E6" s="26"/>
      <c r="F6" s="2" t="s">
        <v>586</v>
      </c>
      <c r="G6" s="2">
        <v>7</v>
      </c>
      <c r="H6" s="29">
        <v>3756000</v>
      </c>
      <c r="I6" s="98" t="str">
        <f t="shared" si="0"/>
        <v>실버</v>
      </c>
      <c r="J6" s="26"/>
      <c r="K6" s="2" t="s">
        <v>587</v>
      </c>
      <c r="L6" s="2" t="s">
        <v>588</v>
      </c>
    </row>
    <row r="7" spans="1:12">
      <c r="A7" s="58" t="s">
        <v>589</v>
      </c>
      <c r="B7" s="2" t="s">
        <v>590</v>
      </c>
      <c r="C7" s="59" t="s">
        <v>591</v>
      </c>
      <c r="D7" s="98" t="str">
        <f t="shared" si="1"/>
        <v>남</v>
      </c>
      <c r="E7" s="26"/>
      <c r="F7" s="2" t="s">
        <v>592</v>
      </c>
      <c r="G7" s="2">
        <v>9</v>
      </c>
      <c r="H7" s="29">
        <v>5550000</v>
      </c>
      <c r="I7" s="98" t="str">
        <f t="shared" si="0"/>
        <v>골드</v>
      </c>
      <c r="J7" s="26"/>
      <c r="K7" s="29">
        <v>1000000</v>
      </c>
      <c r="L7" s="2" t="s">
        <v>593</v>
      </c>
    </row>
    <row r="8" spans="1:12">
      <c r="A8" s="58" t="s">
        <v>594</v>
      </c>
      <c r="B8" s="2" t="s">
        <v>595</v>
      </c>
      <c r="C8" s="2" t="s">
        <v>596</v>
      </c>
      <c r="D8" s="98" t="str">
        <f t="shared" si="1"/>
        <v>남</v>
      </c>
      <c r="E8" s="26"/>
      <c r="F8" s="2" t="s">
        <v>384</v>
      </c>
      <c r="G8" s="2">
        <v>11</v>
      </c>
      <c r="H8" s="29">
        <v>7542000</v>
      </c>
      <c r="I8" s="98" t="str">
        <f t="shared" si="0"/>
        <v>VIP</v>
      </c>
      <c r="J8" s="26"/>
      <c r="K8" s="29">
        <v>3000000</v>
      </c>
      <c r="L8" s="2" t="s">
        <v>597</v>
      </c>
    </row>
    <row r="9" spans="1:12">
      <c r="A9" s="58" t="s">
        <v>598</v>
      </c>
      <c r="B9" s="2" t="s">
        <v>599</v>
      </c>
      <c r="C9" s="2" t="s">
        <v>600</v>
      </c>
      <c r="D9" s="98" t="str">
        <f t="shared" si="1"/>
        <v>여</v>
      </c>
      <c r="E9" s="26"/>
      <c r="F9" s="2" t="s">
        <v>601</v>
      </c>
      <c r="G9" s="2">
        <v>8</v>
      </c>
      <c r="H9" s="29">
        <v>4685000</v>
      </c>
      <c r="I9" s="98" t="str">
        <f t="shared" si="0"/>
        <v>실버</v>
      </c>
      <c r="J9" s="26"/>
      <c r="K9" s="29">
        <v>5000000</v>
      </c>
      <c r="L9" s="2" t="s">
        <v>262</v>
      </c>
    </row>
    <row r="10" spans="1:12">
      <c r="A10" s="58" t="s">
        <v>602</v>
      </c>
      <c r="B10" s="2" t="s">
        <v>603</v>
      </c>
      <c r="C10" s="2" t="s">
        <v>604</v>
      </c>
      <c r="D10" s="98" t="str">
        <f t="shared" si="1"/>
        <v>남</v>
      </c>
      <c r="E10" s="26"/>
      <c r="F10" s="2" t="s">
        <v>605</v>
      </c>
      <c r="G10" s="2">
        <v>10</v>
      </c>
      <c r="H10" s="29">
        <v>4112000</v>
      </c>
      <c r="I10" s="98" t="str">
        <f t="shared" si="0"/>
        <v>실버</v>
      </c>
      <c r="J10" s="26"/>
      <c r="K10" s="29">
        <v>7000000</v>
      </c>
      <c r="L10" s="2" t="s">
        <v>606</v>
      </c>
    </row>
    <row r="11" spans="1:12">
      <c r="A11" s="26"/>
      <c r="B11" s="26"/>
      <c r="C11" s="26"/>
      <c r="D11" s="26"/>
      <c r="E11" s="26"/>
      <c r="F11" s="14"/>
      <c r="G11" s="14"/>
      <c r="H11" s="60"/>
      <c r="I11" s="14"/>
      <c r="J11" s="26"/>
      <c r="K11" s="60"/>
      <c r="L11" s="14"/>
    </row>
    <row r="12" spans="1:12">
      <c r="A12" s="26" t="s">
        <v>607</v>
      </c>
      <c r="B12" s="27" t="s">
        <v>608</v>
      </c>
      <c r="C12" s="26"/>
      <c r="D12" s="26"/>
      <c r="E12" s="26"/>
      <c r="F12" s="26" t="s">
        <v>248</v>
      </c>
      <c r="G12" s="27" t="s">
        <v>609</v>
      </c>
      <c r="H12" s="26"/>
      <c r="I12" s="26"/>
      <c r="J12" s="26"/>
      <c r="K12" s="26"/>
      <c r="L12" s="26"/>
    </row>
    <row r="13" spans="1:12">
      <c r="A13" s="2" t="s">
        <v>610</v>
      </c>
      <c r="B13" s="2" t="s">
        <v>611</v>
      </c>
      <c r="C13" s="2" t="s">
        <v>612</v>
      </c>
      <c r="D13" s="90" t="s">
        <v>77</v>
      </c>
      <c r="E13" s="26"/>
      <c r="F13" s="2" t="s">
        <v>613</v>
      </c>
      <c r="G13" s="2" t="s">
        <v>614</v>
      </c>
      <c r="H13" s="2" t="s">
        <v>615</v>
      </c>
      <c r="I13" s="2" t="s">
        <v>616</v>
      </c>
      <c r="J13" s="90" t="s">
        <v>617</v>
      </c>
      <c r="K13" s="26"/>
      <c r="L13" s="26"/>
    </row>
    <row r="14" spans="1:12">
      <c r="A14" s="2" t="s">
        <v>618</v>
      </c>
      <c r="B14" s="2" t="s">
        <v>619</v>
      </c>
      <c r="C14" s="30">
        <v>315</v>
      </c>
      <c r="D14" s="105">
        <f>C14*INDEX($B$26:$D$27,2,MATCH(A14,$B$25:$D$25,0))</f>
        <v>8032500</v>
      </c>
      <c r="E14" s="26"/>
      <c r="F14" s="2" t="s">
        <v>620</v>
      </c>
      <c r="G14" s="2" t="s">
        <v>621</v>
      </c>
      <c r="H14" s="2" t="s">
        <v>369</v>
      </c>
      <c r="I14" s="28">
        <v>500000</v>
      </c>
      <c r="J14" s="105">
        <f t="shared" ref="J14:J22" si="2">HLOOKUP(H14,$G$25:$J$27,2,FALSE)+HLOOKUP(H14,$G$25:$J$27,3,FALSE)+I14</f>
        <v>4180000</v>
      </c>
      <c r="K14" s="26"/>
      <c r="L14" s="26"/>
    </row>
    <row r="15" spans="1:12">
      <c r="A15" s="2" t="s">
        <v>622</v>
      </c>
      <c r="B15" s="2" t="s">
        <v>623</v>
      </c>
      <c r="C15" s="30">
        <v>294</v>
      </c>
      <c r="D15" s="105">
        <f t="shared" ref="D15:D22" si="3">C15*INDEX($B$26:$D$27,2,MATCH(A15,$B$25:$D$25,0))</f>
        <v>7497000</v>
      </c>
      <c r="E15" s="26"/>
      <c r="F15" s="2" t="s">
        <v>624</v>
      </c>
      <c r="G15" s="2" t="s">
        <v>625</v>
      </c>
      <c r="H15" s="2" t="s">
        <v>236</v>
      </c>
      <c r="I15" s="28">
        <v>300000</v>
      </c>
      <c r="J15" s="105">
        <f t="shared" si="2"/>
        <v>2820000</v>
      </c>
      <c r="K15" s="26"/>
      <c r="L15" s="26"/>
    </row>
    <row r="16" spans="1:12">
      <c r="A16" s="2" t="s">
        <v>626</v>
      </c>
      <c r="B16" s="2" t="s">
        <v>619</v>
      </c>
      <c r="C16" s="30">
        <v>357</v>
      </c>
      <c r="D16" s="105">
        <f t="shared" si="3"/>
        <v>9103500</v>
      </c>
      <c r="E16" s="26"/>
      <c r="F16" s="2" t="s">
        <v>627</v>
      </c>
      <c r="G16" s="2" t="s">
        <v>628</v>
      </c>
      <c r="H16" s="2" t="s">
        <v>629</v>
      </c>
      <c r="I16" s="28">
        <v>250000</v>
      </c>
      <c r="J16" s="105">
        <f t="shared" si="2"/>
        <v>2150000</v>
      </c>
      <c r="K16" s="26"/>
      <c r="L16" s="26"/>
    </row>
    <row r="17" spans="1:12">
      <c r="A17" s="2" t="s">
        <v>630</v>
      </c>
      <c r="B17" s="2" t="s">
        <v>631</v>
      </c>
      <c r="C17" s="30">
        <v>248</v>
      </c>
      <c r="D17" s="105">
        <f t="shared" si="3"/>
        <v>6851000</v>
      </c>
      <c r="E17" s="26"/>
      <c r="F17" s="2" t="s">
        <v>632</v>
      </c>
      <c r="G17" s="2" t="s">
        <v>633</v>
      </c>
      <c r="H17" s="2" t="s">
        <v>489</v>
      </c>
      <c r="I17" s="28">
        <v>300000</v>
      </c>
      <c r="J17" s="105">
        <f t="shared" si="2"/>
        <v>2820000</v>
      </c>
      <c r="K17" s="26"/>
      <c r="L17" s="26"/>
    </row>
    <row r="18" spans="1:12">
      <c r="A18" s="2" t="s">
        <v>634</v>
      </c>
      <c r="B18" s="2" t="s">
        <v>635</v>
      </c>
      <c r="C18" s="30">
        <v>323</v>
      </c>
      <c r="D18" s="105">
        <f t="shared" si="3"/>
        <v>8922875</v>
      </c>
      <c r="E18" s="26"/>
      <c r="F18" s="2" t="s">
        <v>636</v>
      </c>
      <c r="G18" s="2" t="s">
        <v>637</v>
      </c>
      <c r="H18" s="2" t="s">
        <v>638</v>
      </c>
      <c r="I18" s="28">
        <v>250000</v>
      </c>
      <c r="J18" s="105">
        <f t="shared" si="2"/>
        <v>2150000</v>
      </c>
      <c r="K18" s="26"/>
      <c r="L18" s="26"/>
    </row>
    <row r="19" spans="1:12">
      <c r="A19" s="2" t="s">
        <v>639</v>
      </c>
      <c r="B19" s="2" t="s">
        <v>640</v>
      </c>
      <c r="C19" s="30">
        <v>355</v>
      </c>
      <c r="D19" s="105">
        <f t="shared" si="3"/>
        <v>9806875</v>
      </c>
      <c r="E19" s="26"/>
      <c r="F19" s="2" t="s">
        <v>641</v>
      </c>
      <c r="G19" s="2" t="s">
        <v>642</v>
      </c>
      <c r="H19" s="2" t="s">
        <v>494</v>
      </c>
      <c r="I19" s="28">
        <v>400000</v>
      </c>
      <c r="J19" s="105">
        <f t="shared" si="2"/>
        <v>3550000</v>
      </c>
      <c r="K19" s="26"/>
      <c r="L19" s="26"/>
    </row>
    <row r="20" spans="1:12">
      <c r="A20" s="2" t="s">
        <v>643</v>
      </c>
      <c r="B20" s="2" t="s">
        <v>644</v>
      </c>
      <c r="C20" s="30">
        <v>385</v>
      </c>
      <c r="D20" s="105">
        <f t="shared" si="3"/>
        <v>11365200</v>
      </c>
      <c r="E20" s="26"/>
      <c r="F20" s="2" t="s">
        <v>645</v>
      </c>
      <c r="G20" s="2" t="s">
        <v>646</v>
      </c>
      <c r="H20" s="2" t="s">
        <v>638</v>
      </c>
      <c r="I20" s="28">
        <v>250000</v>
      </c>
      <c r="J20" s="105">
        <f t="shared" si="2"/>
        <v>2150000</v>
      </c>
      <c r="K20" s="26"/>
      <c r="L20" s="26"/>
    </row>
    <row r="21" spans="1:12">
      <c r="A21" s="2" t="s">
        <v>647</v>
      </c>
      <c r="B21" s="2" t="s">
        <v>623</v>
      </c>
      <c r="C21" s="30">
        <v>366</v>
      </c>
      <c r="D21" s="105">
        <f t="shared" si="3"/>
        <v>10804320</v>
      </c>
      <c r="E21" s="26"/>
      <c r="F21" s="2" t="s">
        <v>648</v>
      </c>
      <c r="G21" s="2" t="s">
        <v>137</v>
      </c>
      <c r="H21" s="2" t="s">
        <v>649</v>
      </c>
      <c r="I21" s="28">
        <v>500000</v>
      </c>
      <c r="J21" s="105">
        <f t="shared" si="2"/>
        <v>4180000</v>
      </c>
      <c r="K21" s="26"/>
      <c r="L21" s="26"/>
    </row>
    <row r="22" spans="1:12">
      <c r="A22" s="2" t="s">
        <v>650</v>
      </c>
      <c r="B22" s="2" t="s">
        <v>651</v>
      </c>
      <c r="C22" s="30">
        <v>374</v>
      </c>
      <c r="D22" s="105">
        <f t="shared" si="3"/>
        <v>11040480</v>
      </c>
      <c r="E22" s="26"/>
      <c r="F22" s="2" t="s">
        <v>652</v>
      </c>
      <c r="G22" s="2" t="s">
        <v>368</v>
      </c>
      <c r="H22" s="2" t="s">
        <v>236</v>
      </c>
      <c r="I22" s="28">
        <v>300000</v>
      </c>
      <c r="J22" s="105">
        <f t="shared" si="2"/>
        <v>2820000</v>
      </c>
      <c r="K22" s="26"/>
      <c r="L22" s="26"/>
    </row>
    <row r="23" spans="1:1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>
      <c r="A24" s="26" t="s">
        <v>653</v>
      </c>
      <c r="B24" s="26"/>
      <c r="C24" s="27"/>
      <c r="D24" s="26"/>
      <c r="E24" s="26"/>
      <c r="F24" s="26" t="s">
        <v>654</v>
      </c>
      <c r="G24" s="26"/>
      <c r="H24" s="26"/>
      <c r="I24" s="26"/>
      <c r="J24" s="26"/>
      <c r="K24" s="26"/>
      <c r="L24" s="26"/>
    </row>
    <row r="25" spans="1:12">
      <c r="A25" s="2" t="s">
        <v>655</v>
      </c>
      <c r="B25" s="2" t="s">
        <v>622</v>
      </c>
      <c r="C25" s="2" t="s">
        <v>630</v>
      </c>
      <c r="D25" s="2" t="s">
        <v>647</v>
      </c>
      <c r="E25" s="26"/>
      <c r="F25" s="2" t="s">
        <v>656</v>
      </c>
      <c r="G25" s="2" t="s">
        <v>638</v>
      </c>
      <c r="H25" s="2" t="s">
        <v>657</v>
      </c>
      <c r="I25" s="2" t="s">
        <v>494</v>
      </c>
      <c r="J25" s="2" t="s">
        <v>658</v>
      </c>
      <c r="K25" s="26"/>
      <c r="L25" s="26"/>
    </row>
    <row r="26" spans="1:12">
      <c r="A26" s="2" t="s">
        <v>659</v>
      </c>
      <c r="B26" s="29">
        <v>30000</v>
      </c>
      <c r="C26" s="29">
        <v>32500</v>
      </c>
      <c r="D26" s="29">
        <v>36000</v>
      </c>
      <c r="E26" s="26"/>
      <c r="F26" s="2" t="s">
        <v>660</v>
      </c>
      <c r="G26" s="28">
        <v>1800000</v>
      </c>
      <c r="H26" s="28">
        <v>2400000</v>
      </c>
      <c r="I26" s="28">
        <v>3000000</v>
      </c>
      <c r="J26" s="28">
        <v>3500000</v>
      </c>
      <c r="K26" s="26"/>
      <c r="L26" s="26"/>
    </row>
    <row r="27" spans="1:12">
      <c r="A27" s="2" t="s">
        <v>661</v>
      </c>
      <c r="B27" s="29">
        <v>25500</v>
      </c>
      <c r="C27" s="29">
        <v>27625</v>
      </c>
      <c r="D27" s="29">
        <v>29520</v>
      </c>
      <c r="E27" s="26"/>
      <c r="F27" s="2" t="s">
        <v>662</v>
      </c>
      <c r="G27" s="28">
        <v>100000</v>
      </c>
      <c r="H27" s="28">
        <v>120000</v>
      </c>
      <c r="I27" s="28">
        <v>150000</v>
      </c>
      <c r="J27" s="28">
        <v>180000</v>
      </c>
      <c r="K27" s="26"/>
      <c r="L27" s="26"/>
    </row>
  </sheetData>
  <mergeCells count="1">
    <mergeCell ref="K5:L5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/>
  </sheetViews>
  <sheetFormatPr defaultRowHeight="17"/>
  <cols>
    <col min="1" max="1" width="11.83203125" bestFit="1" customWidth="1"/>
    <col min="2" max="4" width="10.58203125" customWidth="1"/>
    <col min="5" max="5" width="1.58203125" customWidth="1"/>
    <col min="7" max="7" width="11.83203125" customWidth="1"/>
    <col min="8" max="8" width="14.58203125" bestFit="1" customWidth="1"/>
    <col min="9" max="11" width="11.83203125" customWidth="1"/>
  </cols>
  <sheetData>
    <row r="1" spans="1:11">
      <c r="A1" s="26" t="s">
        <v>214</v>
      </c>
      <c r="B1" s="27" t="s">
        <v>663</v>
      </c>
      <c r="C1" s="26"/>
      <c r="D1" s="26"/>
      <c r="E1" s="26"/>
      <c r="F1" s="26" t="s">
        <v>67</v>
      </c>
      <c r="G1" s="34"/>
      <c r="H1" s="34"/>
      <c r="I1" s="43"/>
      <c r="J1" s="34"/>
      <c r="K1" s="26"/>
    </row>
    <row r="2" spans="1:11">
      <c r="A2" s="2" t="s">
        <v>664</v>
      </c>
      <c r="B2" s="2" t="s">
        <v>665</v>
      </c>
      <c r="C2" s="2" t="s">
        <v>656</v>
      </c>
      <c r="D2" s="90" t="s">
        <v>666</v>
      </c>
      <c r="E2" s="26"/>
      <c r="F2" s="37" t="s">
        <v>667</v>
      </c>
      <c r="G2" s="37" t="s">
        <v>668</v>
      </c>
      <c r="H2" s="37" t="s">
        <v>669</v>
      </c>
      <c r="I2" s="93" t="s">
        <v>670</v>
      </c>
      <c r="J2" s="26"/>
      <c r="K2" s="26"/>
    </row>
    <row r="3" spans="1:11">
      <c r="A3" s="2" t="s">
        <v>671</v>
      </c>
      <c r="B3" s="2" t="s">
        <v>183</v>
      </c>
      <c r="C3" s="2" t="s">
        <v>672</v>
      </c>
      <c r="D3" s="2"/>
      <c r="E3" s="26"/>
      <c r="F3" s="37" t="s">
        <v>673</v>
      </c>
      <c r="G3" s="9">
        <v>85</v>
      </c>
      <c r="H3" s="9">
        <v>90</v>
      </c>
      <c r="I3" s="37"/>
      <c r="J3" s="26"/>
      <c r="K3" s="26"/>
    </row>
    <row r="4" spans="1:11">
      <c r="A4" s="2" t="s">
        <v>674</v>
      </c>
      <c r="B4" s="2" t="s">
        <v>183</v>
      </c>
      <c r="C4" s="2" t="s">
        <v>369</v>
      </c>
      <c r="D4" s="2"/>
      <c r="E4" s="26"/>
      <c r="F4" s="37" t="s">
        <v>675</v>
      </c>
      <c r="G4" s="9">
        <v>65</v>
      </c>
      <c r="H4" s="9">
        <v>70</v>
      </c>
      <c r="I4" s="37"/>
      <c r="J4" s="26"/>
      <c r="K4" s="26"/>
    </row>
    <row r="5" spans="1:11">
      <c r="A5" s="2" t="s">
        <v>676</v>
      </c>
      <c r="B5" s="2" t="s">
        <v>188</v>
      </c>
      <c r="C5" s="2" t="s">
        <v>369</v>
      </c>
      <c r="D5" s="2"/>
      <c r="E5" s="26"/>
      <c r="F5" s="37" t="s">
        <v>677</v>
      </c>
      <c r="G5" s="9">
        <v>70</v>
      </c>
      <c r="H5" s="9">
        <v>95</v>
      </c>
      <c r="I5" s="37"/>
      <c r="J5" s="26"/>
      <c r="K5" s="26"/>
    </row>
    <row r="6" spans="1:11">
      <c r="A6" s="2" t="s">
        <v>678</v>
      </c>
      <c r="B6" s="2" t="s">
        <v>188</v>
      </c>
      <c r="C6" s="2" t="s">
        <v>489</v>
      </c>
      <c r="D6" s="2"/>
      <c r="E6" s="26"/>
      <c r="F6" s="37" t="s">
        <v>679</v>
      </c>
      <c r="G6" s="9">
        <v>90</v>
      </c>
      <c r="H6" s="9">
        <v>75</v>
      </c>
      <c r="I6" s="37"/>
      <c r="J6" s="26"/>
      <c r="K6" s="26"/>
    </row>
    <row r="7" spans="1:11">
      <c r="A7" s="2" t="s">
        <v>680</v>
      </c>
      <c r="B7" s="2" t="s">
        <v>186</v>
      </c>
      <c r="C7" s="2" t="s">
        <v>489</v>
      </c>
      <c r="D7" s="2"/>
      <c r="E7" s="26"/>
      <c r="F7" s="37" t="s">
        <v>681</v>
      </c>
      <c r="G7" s="9">
        <v>60</v>
      </c>
      <c r="H7" s="9">
        <v>75</v>
      </c>
      <c r="I7" s="37"/>
      <c r="J7" s="26"/>
      <c r="K7" s="26"/>
    </row>
    <row r="8" spans="1:11">
      <c r="A8" s="2" t="s">
        <v>682</v>
      </c>
      <c r="B8" s="2" t="s">
        <v>196</v>
      </c>
      <c r="C8" s="2" t="s">
        <v>244</v>
      </c>
      <c r="D8" s="2"/>
      <c r="E8" s="26"/>
      <c r="F8" s="37" t="s">
        <v>683</v>
      </c>
      <c r="G8" s="9">
        <v>95</v>
      </c>
      <c r="H8" s="9">
        <v>85</v>
      </c>
      <c r="I8" s="37"/>
      <c r="J8" s="26"/>
      <c r="K8" s="26"/>
    </row>
    <row r="9" spans="1:11">
      <c r="A9" s="2" t="s">
        <v>684</v>
      </c>
      <c r="B9" s="2" t="s">
        <v>186</v>
      </c>
      <c r="C9" s="2" t="s">
        <v>638</v>
      </c>
      <c r="D9" s="2"/>
      <c r="E9" s="26"/>
      <c r="F9" s="37" t="s">
        <v>685</v>
      </c>
      <c r="G9" s="9">
        <v>70</v>
      </c>
      <c r="H9" s="9">
        <v>85</v>
      </c>
      <c r="I9" s="37"/>
      <c r="J9" s="26"/>
      <c r="K9" s="26"/>
    </row>
    <row r="10" spans="1:11">
      <c r="A10" s="2" t="s">
        <v>686</v>
      </c>
      <c r="B10" s="2" t="s">
        <v>183</v>
      </c>
      <c r="C10" s="2" t="s">
        <v>244</v>
      </c>
      <c r="D10" s="2"/>
      <c r="E10" s="26"/>
      <c r="F10" s="61"/>
      <c r="G10" s="61"/>
      <c r="H10" s="62"/>
      <c r="I10" s="61"/>
      <c r="J10" s="26"/>
      <c r="K10" s="26"/>
    </row>
    <row r="11" spans="1:11">
      <c r="A11" s="26"/>
      <c r="B11" s="26"/>
      <c r="C11" s="26"/>
      <c r="D11" s="26"/>
      <c r="E11" s="26"/>
      <c r="F11" s="63" t="s">
        <v>687</v>
      </c>
      <c r="G11" s="63"/>
      <c r="H11" s="63"/>
      <c r="I11" s="63"/>
      <c r="J11" s="63"/>
      <c r="K11" s="63"/>
    </row>
    <row r="12" spans="1:11">
      <c r="A12" s="4" t="s">
        <v>688</v>
      </c>
      <c r="B12" s="26"/>
      <c r="C12" s="26"/>
      <c r="D12" s="26"/>
      <c r="E12" s="26"/>
      <c r="F12" s="139" t="s">
        <v>689</v>
      </c>
      <c r="G12" s="64">
        <v>0</v>
      </c>
      <c r="H12" s="65">
        <v>60</v>
      </c>
      <c r="I12" s="65">
        <v>70</v>
      </c>
      <c r="J12" s="65">
        <v>80</v>
      </c>
      <c r="K12" s="65">
        <v>90</v>
      </c>
    </row>
    <row r="13" spans="1:11">
      <c r="A13" s="2" t="s">
        <v>690</v>
      </c>
      <c r="B13" s="2" t="s">
        <v>691</v>
      </c>
      <c r="C13" s="2" t="s">
        <v>692</v>
      </c>
      <c r="D13" s="2" t="s">
        <v>693</v>
      </c>
      <c r="E13" s="26"/>
      <c r="F13" s="140"/>
      <c r="G13" s="66">
        <v>60</v>
      </c>
      <c r="H13" s="66">
        <v>70</v>
      </c>
      <c r="I13" s="66">
        <v>80</v>
      </c>
      <c r="J13" s="66">
        <v>90</v>
      </c>
      <c r="K13" s="67">
        <v>100</v>
      </c>
    </row>
    <row r="14" spans="1:11">
      <c r="A14" s="2" t="s">
        <v>694</v>
      </c>
      <c r="B14" s="2" t="s">
        <v>695</v>
      </c>
      <c r="C14" s="2" t="s">
        <v>146</v>
      </c>
      <c r="D14" s="2" t="s">
        <v>696</v>
      </c>
      <c r="E14" s="26"/>
      <c r="F14" s="37" t="s">
        <v>697</v>
      </c>
      <c r="G14" s="9" t="s">
        <v>698</v>
      </c>
      <c r="H14" s="9" t="s">
        <v>699</v>
      </c>
      <c r="I14" s="9" t="s">
        <v>700</v>
      </c>
      <c r="J14" s="2" t="s">
        <v>701</v>
      </c>
      <c r="K14" s="2" t="s">
        <v>702</v>
      </c>
    </row>
    <row r="15" spans="1:11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1">
      <c r="A16" s="47" t="s">
        <v>246</v>
      </c>
      <c r="B16" s="48" t="s">
        <v>703</v>
      </c>
      <c r="C16" s="47"/>
      <c r="D16" s="47"/>
      <c r="E16" s="47"/>
      <c r="F16" s="26" t="s">
        <v>248</v>
      </c>
      <c r="G16" s="27" t="s">
        <v>704</v>
      </c>
      <c r="H16" s="26"/>
      <c r="I16" s="26"/>
      <c r="J16" s="26"/>
      <c r="K16" s="26"/>
    </row>
    <row r="17" spans="1:11">
      <c r="A17" s="68" t="s">
        <v>705</v>
      </c>
      <c r="B17" s="92"/>
      <c r="C17" s="92"/>
      <c r="D17" s="92"/>
      <c r="E17" s="69"/>
      <c r="F17" s="70"/>
      <c r="G17" s="2" t="s">
        <v>706</v>
      </c>
      <c r="H17" s="2" t="s">
        <v>707</v>
      </c>
      <c r="I17" s="2" t="s">
        <v>708</v>
      </c>
      <c r="J17" s="2" t="s">
        <v>709</v>
      </c>
      <c r="K17" s="26"/>
    </row>
    <row r="18" spans="1:11">
      <c r="A18" s="92"/>
      <c r="B18" s="5">
        <v>25.9</v>
      </c>
      <c r="C18" s="5">
        <v>26.7</v>
      </c>
      <c r="D18" s="5">
        <v>21.2</v>
      </c>
      <c r="E18" s="69"/>
      <c r="F18" s="2" t="s">
        <v>706</v>
      </c>
      <c r="G18" s="29">
        <v>3000</v>
      </c>
      <c r="H18" s="29">
        <v>8000</v>
      </c>
      <c r="I18" s="29">
        <v>25000</v>
      </c>
      <c r="J18" s="29">
        <v>28000</v>
      </c>
      <c r="K18" s="26"/>
    </row>
    <row r="19" spans="1:11">
      <c r="A19" s="92"/>
      <c r="B19" s="5">
        <v>26.1</v>
      </c>
      <c r="C19" s="5">
        <v>26.6</v>
      </c>
      <c r="D19" s="5">
        <v>23.3</v>
      </c>
      <c r="E19" s="69"/>
      <c r="F19" s="2" t="s">
        <v>707</v>
      </c>
      <c r="G19" s="29">
        <v>8000</v>
      </c>
      <c r="H19" s="29">
        <v>2000</v>
      </c>
      <c r="I19" s="29">
        <v>18000</v>
      </c>
      <c r="J19" s="29">
        <v>20000</v>
      </c>
      <c r="K19" s="26"/>
    </row>
    <row r="20" spans="1:11">
      <c r="A20" s="92"/>
      <c r="B20" s="5">
        <v>27.8</v>
      </c>
      <c r="C20" s="5">
        <v>28.4</v>
      </c>
      <c r="D20" s="5">
        <v>24.7</v>
      </c>
      <c r="E20" s="69"/>
      <c r="F20" s="2" t="s">
        <v>710</v>
      </c>
      <c r="G20" s="29">
        <v>25000</v>
      </c>
      <c r="H20" s="29">
        <v>18000</v>
      </c>
      <c r="I20" s="29">
        <v>2500</v>
      </c>
      <c r="J20" s="29">
        <v>15000</v>
      </c>
      <c r="K20" s="26"/>
    </row>
    <row r="21" spans="1:11">
      <c r="A21" s="92"/>
      <c r="B21" s="5">
        <v>26.1</v>
      </c>
      <c r="C21" s="5">
        <v>27.9</v>
      </c>
      <c r="D21" s="5">
        <v>24.3</v>
      </c>
      <c r="E21" s="69"/>
      <c r="F21" s="2" t="s">
        <v>711</v>
      </c>
      <c r="G21" s="29">
        <v>28000</v>
      </c>
      <c r="H21" s="29">
        <v>20000</v>
      </c>
      <c r="I21" s="29">
        <v>15000</v>
      </c>
      <c r="J21" s="29">
        <v>2000</v>
      </c>
      <c r="K21" s="26"/>
    </row>
    <row r="22" spans="1:11">
      <c r="A22" s="92"/>
      <c r="B22" s="5">
        <v>26.6</v>
      </c>
      <c r="C22" s="5">
        <v>27.2</v>
      </c>
      <c r="D22" s="5">
        <v>21.9</v>
      </c>
      <c r="E22" s="69"/>
      <c r="F22" s="26"/>
      <c r="G22" s="26"/>
      <c r="H22" s="26"/>
      <c r="I22" s="26"/>
      <c r="J22" s="26"/>
      <c r="K22" s="26"/>
    </row>
    <row r="23" spans="1:11">
      <c r="A23" s="92"/>
      <c r="B23" s="5">
        <v>25.8</v>
      </c>
      <c r="C23" s="5">
        <v>27.1</v>
      </c>
      <c r="D23" s="5">
        <v>23.2</v>
      </c>
      <c r="E23" s="69"/>
      <c r="F23" s="71" t="s">
        <v>712</v>
      </c>
      <c r="G23" s="71"/>
      <c r="H23" s="26"/>
      <c r="I23" s="26"/>
      <c r="J23" s="26"/>
      <c r="K23" s="26"/>
    </row>
    <row r="24" spans="1:11">
      <c r="A24" s="92"/>
      <c r="B24" s="5">
        <v>24.2</v>
      </c>
      <c r="C24" s="5">
        <v>25.3</v>
      </c>
      <c r="D24" s="5">
        <v>21.3</v>
      </c>
      <c r="E24" s="69"/>
      <c r="F24" s="2" t="s">
        <v>175</v>
      </c>
      <c r="G24" s="2" t="s">
        <v>713</v>
      </c>
      <c r="H24" s="2" t="s">
        <v>707</v>
      </c>
      <c r="I24" s="2" t="s">
        <v>710</v>
      </c>
      <c r="J24" s="2" t="s">
        <v>711</v>
      </c>
      <c r="K24" s="26"/>
    </row>
    <row r="25" spans="1:11">
      <c r="A25" s="92"/>
      <c r="B25" s="5">
        <v>24.6</v>
      </c>
      <c r="C25" s="5">
        <v>25.6</v>
      </c>
      <c r="D25" s="5">
        <v>20.5</v>
      </c>
      <c r="E25" s="69"/>
      <c r="F25" s="2" t="s">
        <v>714</v>
      </c>
      <c r="G25" s="2">
        <v>1</v>
      </c>
      <c r="H25" s="2">
        <v>2</v>
      </c>
      <c r="I25" s="2">
        <v>3</v>
      </c>
      <c r="J25" s="2">
        <v>4</v>
      </c>
      <c r="K25" s="26"/>
    </row>
    <row r="26" spans="1:11">
      <c r="A26" s="92"/>
      <c r="B26" s="5">
        <v>26.1</v>
      </c>
      <c r="C26" s="5">
        <v>25.9</v>
      </c>
      <c r="D26" s="5">
        <v>22.3</v>
      </c>
      <c r="E26" s="69"/>
      <c r="F26" s="26"/>
      <c r="G26" s="26"/>
      <c r="H26" s="26"/>
      <c r="I26" s="26"/>
      <c r="J26" s="26"/>
      <c r="K26" s="26"/>
    </row>
    <row r="27" spans="1:11">
      <c r="A27" s="92"/>
      <c r="B27" s="5">
        <v>25.9</v>
      </c>
      <c r="C27" s="5">
        <v>26.3</v>
      </c>
      <c r="D27" s="5">
        <v>21.9</v>
      </c>
      <c r="E27" s="69"/>
      <c r="F27" s="2" t="s">
        <v>715</v>
      </c>
      <c r="G27" s="2" t="s">
        <v>716</v>
      </c>
      <c r="H27" s="90" t="s">
        <v>717</v>
      </c>
      <c r="I27" s="26"/>
      <c r="J27" s="26"/>
      <c r="K27" s="26"/>
    </row>
    <row r="28" spans="1:11">
      <c r="A28" s="26"/>
      <c r="B28" s="26"/>
      <c r="C28" s="26"/>
      <c r="D28" s="26"/>
      <c r="E28" s="26"/>
      <c r="F28" s="2" t="s">
        <v>710</v>
      </c>
      <c r="G28" s="2" t="s">
        <v>709</v>
      </c>
      <c r="H28" s="29"/>
      <c r="I28" s="26"/>
      <c r="J28" s="26"/>
      <c r="K28" s="26"/>
    </row>
  </sheetData>
  <mergeCells count="1">
    <mergeCell ref="F12:F13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/>
  </sheetViews>
  <sheetFormatPr defaultRowHeight="17"/>
  <cols>
    <col min="1" max="1" width="11.83203125" bestFit="1" customWidth="1"/>
    <col min="2" max="4" width="10.58203125" customWidth="1"/>
    <col min="5" max="5" width="1.58203125" customWidth="1"/>
    <col min="7" max="7" width="11.83203125" customWidth="1"/>
    <col min="8" max="8" width="14.58203125" bestFit="1" customWidth="1"/>
    <col min="9" max="11" width="11.83203125" customWidth="1"/>
  </cols>
  <sheetData>
    <row r="1" spans="1:11">
      <c r="A1" s="26" t="s">
        <v>65</v>
      </c>
      <c r="B1" s="27" t="s">
        <v>358</v>
      </c>
      <c r="C1" s="26"/>
      <c r="D1" s="26"/>
      <c r="E1" s="26"/>
      <c r="F1" s="26" t="s">
        <v>67</v>
      </c>
      <c r="G1" s="34"/>
      <c r="H1" s="34"/>
      <c r="I1" s="43"/>
      <c r="J1" s="34"/>
      <c r="K1" s="26"/>
    </row>
    <row r="2" spans="1:11">
      <c r="A2" s="86" t="s">
        <v>664</v>
      </c>
      <c r="B2" s="86" t="s">
        <v>174</v>
      </c>
      <c r="C2" s="86" t="s">
        <v>482</v>
      </c>
      <c r="D2" s="91" t="s">
        <v>116</v>
      </c>
      <c r="E2" s="26"/>
      <c r="F2" s="37" t="s">
        <v>177</v>
      </c>
      <c r="G2" s="37" t="s">
        <v>668</v>
      </c>
      <c r="H2" s="37" t="s">
        <v>669</v>
      </c>
      <c r="I2" s="93" t="s">
        <v>670</v>
      </c>
      <c r="J2" s="26"/>
      <c r="K2" s="26"/>
    </row>
    <row r="3" spans="1:11">
      <c r="A3" s="86" t="s">
        <v>671</v>
      </c>
      <c r="B3" s="86" t="s">
        <v>183</v>
      </c>
      <c r="C3" s="86" t="s">
        <v>369</v>
      </c>
      <c r="D3" s="98" t="str">
        <f>HLOOKUP(LEFT(A3,1),$B$13:$D$14,2,FALSE)</f>
        <v>생산부</v>
      </c>
      <c r="E3" s="26"/>
      <c r="F3" s="37" t="s">
        <v>673</v>
      </c>
      <c r="G3" s="9">
        <v>85</v>
      </c>
      <c r="H3" s="9">
        <v>90</v>
      </c>
      <c r="I3" s="106" t="str">
        <f t="shared" ref="I3:I9" si="0">HLOOKUP(AVERAGE(G3:H3),$G$12:$K$14,3,TRUE)</f>
        <v>B</v>
      </c>
      <c r="J3" s="26"/>
      <c r="K3" s="26"/>
    </row>
    <row r="4" spans="1:11">
      <c r="A4" s="86" t="s">
        <v>674</v>
      </c>
      <c r="B4" s="86" t="s">
        <v>183</v>
      </c>
      <c r="C4" s="86" t="s">
        <v>369</v>
      </c>
      <c r="D4" s="98" t="str">
        <f t="shared" ref="D4:D10" si="1">HLOOKUP(LEFT(A4,1),$B$13:$D$14,2,FALSE)</f>
        <v>관리부</v>
      </c>
      <c r="E4" s="26"/>
      <c r="F4" s="37" t="s">
        <v>675</v>
      </c>
      <c r="G4" s="9">
        <v>65</v>
      </c>
      <c r="H4" s="9">
        <v>70</v>
      </c>
      <c r="I4" s="106" t="str">
        <f t="shared" si="0"/>
        <v>D</v>
      </c>
      <c r="J4" s="26"/>
      <c r="K4" s="26"/>
    </row>
    <row r="5" spans="1:11">
      <c r="A5" s="86" t="s">
        <v>676</v>
      </c>
      <c r="B5" s="86" t="s">
        <v>188</v>
      </c>
      <c r="C5" s="86" t="s">
        <v>369</v>
      </c>
      <c r="D5" s="98" t="str">
        <f t="shared" si="1"/>
        <v>영업부</v>
      </c>
      <c r="E5" s="26"/>
      <c r="F5" s="37" t="s">
        <v>677</v>
      </c>
      <c r="G5" s="9">
        <v>70</v>
      </c>
      <c r="H5" s="9">
        <v>95</v>
      </c>
      <c r="I5" s="106" t="str">
        <f t="shared" si="0"/>
        <v>B</v>
      </c>
      <c r="J5" s="26"/>
      <c r="K5" s="26"/>
    </row>
    <row r="6" spans="1:11">
      <c r="A6" s="86" t="s">
        <v>678</v>
      </c>
      <c r="B6" s="86" t="s">
        <v>188</v>
      </c>
      <c r="C6" s="86" t="s">
        <v>232</v>
      </c>
      <c r="D6" s="98" t="str">
        <f t="shared" si="1"/>
        <v>생산부</v>
      </c>
      <c r="E6" s="26"/>
      <c r="F6" s="37" t="s">
        <v>679</v>
      </c>
      <c r="G6" s="9">
        <v>90</v>
      </c>
      <c r="H6" s="9">
        <v>75</v>
      </c>
      <c r="I6" s="106" t="str">
        <f t="shared" si="0"/>
        <v>B</v>
      </c>
      <c r="J6" s="26"/>
      <c r="K6" s="26"/>
    </row>
    <row r="7" spans="1:11">
      <c r="A7" s="86" t="s">
        <v>680</v>
      </c>
      <c r="B7" s="86" t="s">
        <v>183</v>
      </c>
      <c r="C7" s="86" t="s">
        <v>232</v>
      </c>
      <c r="D7" s="98" t="str">
        <f t="shared" si="1"/>
        <v>영업부</v>
      </c>
      <c r="E7" s="26"/>
      <c r="F7" s="37" t="s">
        <v>681</v>
      </c>
      <c r="G7" s="9">
        <v>60</v>
      </c>
      <c r="H7" s="9">
        <v>75</v>
      </c>
      <c r="I7" s="106" t="str">
        <f t="shared" si="0"/>
        <v>D</v>
      </c>
      <c r="J7" s="26"/>
      <c r="K7" s="26"/>
    </row>
    <row r="8" spans="1:11">
      <c r="A8" s="86" t="s">
        <v>682</v>
      </c>
      <c r="B8" s="86" t="s">
        <v>188</v>
      </c>
      <c r="C8" s="86" t="s">
        <v>238</v>
      </c>
      <c r="D8" s="98" t="str">
        <f t="shared" si="1"/>
        <v>영업부</v>
      </c>
      <c r="E8" s="26"/>
      <c r="F8" s="37" t="s">
        <v>683</v>
      </c>
      <c r="G8" s="9">
        <v>95</v>
      </c>
      <c r="H8" s="9">
        <v>85</v>
      </c>
      <c r="I8" s="106" t="str">
        <f t="shared" si="0"/>
        <v>A</v>
      </c>
      <c r="J8" s="26"/>
      <c r="K8" s="26"/>
    </row>
    <row r="9" spans="1:11">
      <c r="A9" s="86" t="s">
        <v>684</v>
      </c>
      <c r="B9" s="86" t="s">
        <v>183</v>
      </c>
      <c r="C9" s="86" t="s">
        <v>238</v>
      </c>
      <c r="D9" s="98" t="str">
        <f t="shared" si="1"/>
        <v>관리부</v>
      </c>
      <c r="E9" s="26"/>
      <c r="F9" s="37" t="s">
        <v>685</v>
      </c>
      <c r="G9" s="9">
        <v>70</v>
      </c>
      <c r="H9" s="9">
        <v>85</v>
      </c>
      <c r="I9" s="106" t="str">
        <f t="shared" si="0"/>
        <v>C</v>
      </c>
      <c r="J9" s="26"/>
      <c r="K9" s="26"/>
    </row>
    <row r="10" spans="1:11">
      <c r="A10" s="86" t="s">
        <v>686</v>
      </c>
      <c r="B10" s="86" t="s">
        <v>183</v>
      </c>
      <c r="C10" s="86" t="s">
        <v>238</v>
      </c>
      <c r="D10" s="98" t="str">
        <f t="shared" si="1"/>
        <v>생산부</v>
      </c>
      <c r="E10" s="26"/>
      <c r="F10" s="61"/>
      <c r="G10" s="61"/>
      <c r="H10" s="62"/>
      <c r="I10" s="61"/>
      <c r="J10" s="26"/>
      <c r="K10" s="26"/>
    </row>
    <row r="11" spans="1:11">
      <c r="A11" s="26"/>
      <c r="B11" s="26"/>
      <c r="C11" s="26"/>
      <c r="D11" s="26"/>
      <c r="E11" s="26"/>
      <c r="F11" s="63" t="s">
        <v>687</v>
      </c>
      <c r="G11" s="63"/>
      <c r="H11" s="63"/>
      <c r="I11" s="63"/>
      <c r="J11" s="63"/>
      <c r="K11" s="63"/>
    </row>
    <row r="12" spans="1:11">
      <c r="A12" s="4" t="s">
        <v>688</v>
      </c>
      <c r="B12" s="26"/>
      <c r="C12" s="26"/>
      <c r="D12" s="26"/>
      <c r="E12" s="26"/>
      <c r="F12" s="139" t="s">
        <v>689</v>
      </c>
      <c r="G12" s="64">
        <v>0</v>
      </c>
      <c r="H12" s="65">
        <v>60</v>
      </c>
      <c r="I12" s="65">
        <v>70</v>
      </c>
      <c r="J12" s="65">
        <v>80</v>
      </c>
      <c r="K12" s="65">
        <v>90</v>
      </c>
    </row>
    <row r="13" spans="1:11">
      <c r="A13" s="86" t="s">
        <v>690</v>
      </c>
      <c r="B13" s="86" t="s">
        <v>691</v>
      </c>
      <c r="C13" s="86" t="s">
        <v>692</v>
      </c>
      <c r="D13" s="86" t="s">
        <v>693</v>
      </c>
      <c r="E13" s="26"/>
      <c r="F13" s="140"/>
      <c r="G13" s="66">
        <v>60</v>
      </c>
      <c r="H13" s="66">
        <v>70</v>
      </c>
      <c r="I13" s="66">
        <v>80</v>
      </c>
      <c r="J13" s="66">
        <v>90</v>
      </c>
      <c r="K13" s="67">
        <v>100</v>
      </c>
    </row>
    <row r="14" spans="1:11">
      <c r="A14" s="86" t="s">
        <v>116</v>
      </c>
      <c r="B14" s="86" t="s">
        <v>368</v>
      </c>
      <c r="C14" s="86" t="s">
        <v>125</v>
      </c>
      <c r="D14" s="86" t="s">
        <v>378</v>
      </c>
      <c r="E14" s="26"/>
      <c r="F14" s="37" t="s">
        <v>670</v>
      </c>
      <c r="G14" s="9" t="s">
        <v>698</v>
      </c>
      <c r="H14" s="9" t="s">
        <v>699</v>
      </c>
      <c r="I14" s="9" t="s">
        <v>700</v>
      </c>
      <c r="J14" s="86" t="s">
        <v>692</v>
      </c>
      <c r="K14" s="86" t="s">
        <v>702</v>
      </c>
    </row>
    <row r="15" spans="1:11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1">
      <c r="A16" s="47" t="s">
        <v>112</v>
      </c>
      <c r="B16" s="48" t="s">
        <v>703</v>
      </c>
      <c r="C16" s="47"/>
      <c r="D16" s="47"/>
      <c r="E16" s="47"/>
      <c r="F16" s="26" t="s">
        <v>114</v>
      </c>
      <c r="G16" s="27" t="s">
        <v>704</v>
      </c>
      <c r="H16" s="26"/>
      <c r="I16" s="26"/>
      <c r="J16" s="26"/>
      <c r="K16" s="26"/>
    </row>
    <row r="17" spans="1:11">
      <c r="A17" s="68" t="s">
        <v>705</v>
      </c>
      <c r="B17" s="92" t="str">
        <f>COLUMN()+5&amp;"월"</f>
        <v>7월</v>
      </c>
      <c r="C17" s="92" t="str">
        <f t="shared" ref="C17:D17" si="2">COLUMN()+5&amp;"월"</f>
        <v>8월</v>
      </c>
      <c r="D17" s="92" t="str">
        <f t="shared" si="2"/>
        <v>9월</v>
      </c>
      <c r="E17" s="69"/>
      <c r="F17" s="70"/>
      <c r="G17" s="86" t="s">
        <v>706</v>
      </c>
      <c r="H17" s="86" t="s">
        <v>707</v>
      </c>
      <c r="I17" s="86" t="s">
        <v>708</v>
      </c>
      <c r="J17" s="86" t="s">
        <v>709</v>
      </c>
      <c r="K17" s="26"/>
    </row>
    <row r="18" spans="1:11">
      <c r="A18" s="92">
        <f>ROW()-17</f>
        <v>1</v>
      </c>
      <c r="B18" s="5">
        <v>25.9</v>
      </c>
      <c r="C18" s="5">
        <v>26.7</v>
      </c>
      <c r="D18" s="5">
        <v>21.2</v>
      </c>
      <c r="E18" s="69"/>
      <c r="F18" s="86" t="s">
        <v>706</v>
      </c>
      <c r="G18" s="88">
        <v>3000</v>
      </c>
      <c r="H18" s="88">
        <v>8000</v>
      </c>
      <c r="I18" s="88">
        <v>25000</v>
      </c>
      <c r="J18" s="88">
        <v>28000</v>
      </c>
      <c r="K18" s="26"/>
    </row>
    <row r="19" spans="1:11">
      <c r="A19" s="92">
        <f t="shared" ref="A19:A27" si="3">ROW()-17</f>
        <v>2</v>
      </c>
      <c r="B19" s="5">
        <v>26.1</v>
      </c>
      <c r="C19" s="5">
        <v>26.6</v>
      </c>
      <c r="D19" s="5">
        <v>23.3</v>
      </c>
      <c r="E19" s="69"/>
      <c r="F19" s="86" t="s">
        <v>707</v>
      </c>
      <c r="G19" s="88">
        <v>8000</v>
      </c>
      <c r="H19" s="88">
        <v>2000</v>
      </c>
      <c r="I19" s="88">
        <v>18000</v>
      </c>
      <c r="J19" s="88">
        <v>20000</v>
      </c>
      <c r="K19" s="26"/>
    </row>
    <row r="20" spans="1:11">
      <c r="A20" s="92">
        <f t="shared" si="3"/>
        <v>3</v>
      </c>
      <c r="B20" s="5">
        <v>27.8</v>
      </c>
      <c r="C20" s="5">
        <v>28.4</v>
      </c>
      <c r="D20" s="5">
        <v>24.7</v>
      </c>
      <c r="E20" s="69"/>
      <c r="F20" s="86" t="s">
        <v>708</v>
      </c>
      <c r="G20" s="88">
        <v>25000</v>
      </c>
      <c r="H20" s="88">
        <v>18000</v>
      </c>
      <c r="I20" s="88">
        <v>2500</v>
      </c>
      <c r="J20" s="88">
        <v>15000</v>
      </c>
      <c r="K20" s="26"/>
    </row>
    <row r="21" spans="1:11">
      <c r="A21" s="92">
        <f t="shared" si="3"/>
        <v>4</v>
      </c>
      <c r="B21" s="5">
        <v>26.1</v>
      </c>
      <c r="C21" s="5">
        <v>27.9</v>
      </c>
      <c r="D21" s="5">
        <v>24.3</v>
      </c>
      <c r="E21" s="69"/>
      <c r="F21" s="86" t="s">
        <v>709</v>
      </c>
      <c r="G21" s="88">
        <v>28000</v>
      </c>
      <c r="H21" s="88">
        <v>20000</v>
      </c>
      <c r="I21" s="88">
        <v>15000</v>
      </c>
      <c r="J21" s="88">
        <v>2000</v>
      </c>
      <c r="K21" s="26"/>
    </row>
    <row r="22" spans="1:11">
      <c r="A22" s="92">
        <f t="shared" si="3"/>
        <v>5</v>
      </c>
      <c r="B22" s="5">
        <v>26.6</v>
      </c>
      <c r="C22" s="5">
        <v>27.2</v>
      </c>
      <c r="D22" s="5">
        <v>21.9</v>
      </c>
      <c r="E22" s="69"/>
      <c r="F22" s="26"/>
      <c r="G22" s="26"/>
      <c r="H22" s="26"/>
      <c r="I22" s="26"/>
      <c r="J22" s="26"/>
      <c r="K22" s="26"/>
    </row>
    <row r="23" spans="1:11">
      <c r="A23" s="92">
        <f t="shared" si="3"/>
        <v>6</v>
      </c>
      <c r="B23" s="5">
        <v>25.8</v>
      </c>
      <c r="C23" s="5">
        <v>27.1</v>
      </c>
      <c r="D23" s="5">
        <v>23.2</v>
      </c>
      <c r="E23" s="69"/>
      <c r="F23" s="71" t="s">
        <v>712</v>
      </c>
      <c r="G23" s="71"/>
      <c r="H23" s="26"/>
      <c r="I23" s="26"/>
      <c r="J23" s="26"/>
      <c r="K23" s="26"/>
    </row>
    <row r="24" spans="1:11">
      <c r="A24" s="92">
        <f t="shared" si="3"/>
        <v>7</v>
      </c>
      <c r="B24" s="5">
        <v>24.2</v>
      </c>
      <c r="C24" s="5">
        <v>25.3</v>
      </c>
      <c r="D24" s="5">
        <v>21.3</v>
      </c>
      <c r="E24" s="69"/>
      <c r="F24" s="86" t="s">
        <v>175</v>
      </c>
      <c r="G24" s="86" t="s">
        <v>706</v>
      </c>
      <c r="H24" s="86" t="s">
        <v>707</v>
      </c>
      <c r="I24" s="86" t="s">
        <v>708</v>
      </c>
      <c r="J24" s="86" t="s">
        <v>709</v>
      </c>
      <c r="K24" s="26"/>
    </row>
    <row r="25" spans="1:11">
      <c r="A25" s="92">
        <f t="shared" si="3"/>
        <v>8</v>
      </c>
      <c r="B25" s="5">
        <v>24.6</v>
      </c>
      <c r="C25" s="5">
        <v>25.6</v>
      </c>
      <c r="D25" s="5">
        <v>20.5</v>
      </c>
      <c r="E25" s="69"/>
      <c r="F25" s="86" t="s">
        <v>714</v>
      </c>
      <c r="G25" s="86">
        <v>1</v>
      </c>
      <c r="H25" s="86">
        <v>2</v>
      </c>
      <c r="I25" s="86">
        <v>3</v>
      </c>
      <c r="J25" s="86">
        <v>4</v>
      </c>
      <c r="K25" s="26"/>
    </row>
    <row r="26" spans="1:11">
      <c r="A26" s="92">
        <f t="shared" si="3"/>
        <v>9</v>
      </c>
      <c r="B26" s="5">
        <v>26.1</v>
      </c>
      <c r="C26" s="5">
        <v>25.9</v>
      </c>
      <c r="D26" s="5">
        <v>22.3</v>
      </c>
      <c r="E26" s="69"/>
      <c r="F26" s="26"/>
      <c r="G26" s="26"/>
      <c r="H26" s="26"/>
      <c r="I26" s="26"/>
      <c r="J26" s="26"/>
      <c r="K26" s="26"/>
    </row>
    <row r="27" spans="1:11">
      <c r="A27" s="92">
        <f t="shared" si="3"/>
        <v>10</v>
      </c>
      <c r="B27" s="5">
        <v>25.9</v>
      </c>
      <c r="C27" s="5">
        <v>26.3</v>
      </c>
      <c r="D27" s="5">
        <v>21.9</v>
      </c>
      <c r="E27" s="69"/>
      <c r="F27" s="86" t="s">
        <v>715</v>
      </c>
      <c r="G27" s="86" t="s">
        <v>716</v>
      </c>
      <c r="H27" s="91" t="s">
        <v>717</v>
      </c>
      <c r="I27" s="26"/>
      <c r="J27" s="26"/>
      <c r="K27" s="26"/>
    </row>
    <row r="28" spans="1:11">
      <c r="A28" s="26"/>
      <c r="B28" s="26"/>
      <c r="C28" s="26"/>
      <c r="D28" s="26"/>
      <c r="E28" s="26"/>
      <c r="F28" s="86" t="s">
        <v>708</v>
      </c>
      <c r="G28" s="86" t="s">
        <v>709</v>
      </c>
      <c r="H28" s="101">
        <f>INDEX(G18:J21,HLOOKUP(F20,$G$24:$J$25,2,FALSE),HLOOKUP(J17,$G$24:$J$25,2,FALSE))</f>
        <v>15000</v>
      </c>
      <c r="I28" s="26"/>
      <c r="J28" s="26"/>
      <c r="K28" s="26"/>
    </row>
  </sheetData>
  <mergeCells count="1">
    <mergeCell ref="F12:F13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7"/>
  <cols>
    <col min="2" max="2" width="16.75" bestFit="1" customWidth="1"/>
    <col min="3" max="3" width="15.33203125" customWidth="1"/>
    <col min="4" max="4" width="13.5" customWidth="1"/>
    <col min="5" max="5" width="1.58203125" customWidth="1"/>
    <col min="8" max="8" width="11.08203125" bestFit="1" customWidth="1"/>
    <col min="9" max="9" width="16.33203125" bestFit="1" customWidth="1"/>
    <col min="10" max="10" width="11.08203125" bestFit="1" customWidth="1"/>
    <col min="11" max="11" width="1.58203125" customWidth="1"/>
  </cols>
  <sheetData>
    <row r="1" spans="1:13">
      <c r="A1" s="26" t="s">
        <v>214</v>
      </c>
      <c r="B1" s="27" t="s">
        <v>718</v>
      </c>
      <c r="C1" s="26"/>
      <c r="D1" s="26"/>
      <c r="E1" s="26"/>
      <c r="F1" s="26" t="s">
        <v>719</v>
      </c>
      <c r="G1" s="27" t="s">
        <v>663</v>
      </c>
      <c r="H1" s="26"/>
      <c r="I1" s="72" t="s">
        <v>720</v>
      </c>
      <c r="J1" s="73">
        <v>44198</v>
      </c>
      <c r="K1" s="26"/>
      <c r="L1" s="26"/>
      <c r="M1" s="26"/>
    </row>
    <row r="2" spans="1:13">
      <c r="A2" s="5" t="s">
        <v>360</v>
      </c>
      <c r="B2" s="5" t="s">
        <v>721</v>
      </c>
      <c r="C2" s="5" t="s">
        <v>722</v>
      </c>
      <c r="D2" s="92" t="s">
        <v>306</v>
      </c>
      <c r="E2" s="26"/>
      <c r="F2" s="2" t="s">
        <v>75</v>
      </c>
      <c r="G2" s="2" t="s">
        <v>656</v>
      </c>
      <c r="H2" s="2" t="s">
        <v>723</v>
      </c>
      <c r="I2" s="2" t="s">
        <v>722</v>
      </c>
      <c r="J2" s="90" t="s">
        <v>724</v>
      </c>
      <c r="K2" s="26"/>
      <c r="L2" s="26"/>
      <c r="M2" s="26"/>
    </row>
    <row r="3" spans="1:13">
      <c r="A3" s="2" t="s">
        <v>725</v>
      </c>
      <c r="B3" s="2" t="s">
        <v>726</v>
      </c>
      <c r="C3" s="2" t="s">
        <v>727</v>
      </c>
      <c r="D3" s="74"/>
      <c r="E3" s="26"/>
      <c r="F3" s="2" t="s">
        <v>728</v>
      </c>
      <c r="G3" s="29" t="s">
        <v>729</v>
      </c>
      <c r="H3" s="75">
        <v>43549</v>
      </c>
      <c r="I3" s="29" t="s">
        <v>730</v>
      </c>
      <c r="J3" s="2"/>
      <c r="K3" s="26"/>
      <c r="L3" s="26"/>
      <c r="M3" s="26"/>
    </row>
    <row r="4" spans="1:13">
      <c r="A4" s="2" t="s">
        <v>731</v>
      </c>
      <c r="B4" s="2" t="s">
        <v>732</v>
      </c>
      <c r="C4" s="2" t="s">
        <v>733</v>
      </c>
      <c r="D4" s="74"/>
      <c r="E4" s="26"/>
      <c r="F4" s="2" t="s">
        <v>734</v>
      </c>
      <c r="G4" s="29" t="s">
        <v>672</v>
      </c>
      <c r="H4" s="75">
        <v>42156</v>
      </c>
      <c r="I4" s="29" t="s">
        <v>735</v>
      </c>
      <c r="J4" s="2"/>
      <c r="K4" s="26"/>
      <c r="L4" s="26"/>
      <c r="M4" s="26"/>
    </row>
    <row r="5" spans="1:13">
      <c r="A5" s="2" t="s">
        <v>736</v>
      </c>
      <c r="B5" s="2" t="s">
        <v>737</v>
      </c>
      <c r="C5" s="2" t="s">
        <v>738</v>
      </c>
      <c r="D5" s="74"/>
      <c r="E5" s="26"/>
      <c r="F5" s="2" t="s">
        <v>739</v>
      </c>
      <c r="G5" s="29" t="s">
        <v>227</v>
      </c>
      <c r="H5" s="75">
        <v>43398</v>
      </c>
      <c r="I5" s="29" t="s">
        <v>740</v>
      </c>
      <c r="J5" s="2"/>
      <c r="K5" s="26"/>
      <c r="L5" s="26"/>
      <c r="M5" s="26"/>
    </row>
    <row r="6" spans="1:13">
      <c r="A6" s="2" t="s">
        <v>741</v>
      </c>
      <c r="B6" s="2" t="s">
        <v>742</v>
      </c>
      <c r="C6" s="2" t="s">
        <v>743</v>
      </c>
      <c r="D6" s="74"/>
      <c r="E6" s="26"/>
      <c r="F6" s="2" t="s">
        <v>744</v>
      </c>
      <c r="G6" s="29" t="s">
        <v>369</v>
      </c>
      <c r="H6" s="75">
        <v>42497</v>
      </c>
      <c r="I6" s="29" t="s">
        <v>745</v>
      </c>
      <c r="J6" s="2"/>
      <c r="K6" s="26"/>
      <c r="L6" s="26"/>
      <c r="M6" s="26"/>
    </row>
    <row r="7" spans="1:13">
      <c r="A7" s="2" t="s">
        <v>746</v>
      </c>
      <c r="B7" s="2" t="s">
        <v>732</v>
      </c>
      <c r="C7" s="2" t="s">
        <v>747</v>
      </c>
      <c r="D7" s="74"/>
      <c r="E7" s="26"/>
      <c r="F7" s="2" t="s">
        <v>748</v>
      </c>
      <c r="G7" s="29" t="s">
        <v>236</v>
      </c>
      <c r="H7" s="75">
        <v>41373</v>
      </c>
      <c r="I7" s="29" t="s">
        <v>749</v>
      </c>
      <c r="J7" s="2"/>
      <c r="K7" s="26"/>
      <c r="L7" s="26"/>
      <c r="M7" s="26"/>
    </row>
    <row r="8" spans="1:13">
      <c r="A8" s="2" t="s">
        <v>750</v>
      </c>
      <c r="B8" s="2" t="s">
        <v>726</v>
      </c>
      <c r="C8" s="2" t="s">
        <v>751</v>
      </c>
      <c r="D8" s="74"/>
      <c r="E8" s="26"/>
      <c r="F8" s="2" t="s">
        <v>752</v>
      </c>
      <c r="G8" s="29" t="s">
        <v>244</v>
      </c>
      <c r="H8" s="75">
        <v>43419</v>
      </c>
      <c r="I8" s="29" t="s">
        <v>753</v>
      </c>
      <c r="J8" s="2"/>
      <c r="K8" s="26"/>
      <c r="L8" s="26"/>
      <c r="M8" s="26"/>
    </row>
    <row r="9" spans="1:13">
      <c r="A9" s="2" t="s">
        <v>754</v>
      </c>
      <c r="B9" s="2" t="s">
        <v>726</v>
      </c>
      <c r="C9" s="2" t="s">
        <v>755</v>
      </c>
      <c r="D9" s="74"/>
      <c r="E9" s="26"/>
      <c r="F9" s="2" t="s">
        <v>756</v>
      </c>
      <c r="G9" s="29" t="s">
        <v>227</v>
      </c>
      <c r="H9" s="75">
        <v>40194</v>
      </c>
      <c r="I9" s="29" t="s">
        <v>757</v>
      </c>
      <c r="J9" s="2"/>
      <c r="K9" s="26"/>
      <c r="L9" s="26"/>
      <c r="M9" s="26"/>
    </row>
    <row r="10" spans="1:13">
      <c r="A10" s="2" t="s">
        <v>758</v>
      </c>
      <c r="B10" s="2" t="s">
        <v>742</v>
      </c>
      <c r="C10" s="2" t="s">
        <v>759</v>
      </c>
      <c r="D10" s="74"/>
      <c r="E10" s="26"/>
      <c r="F10" s="2" t="s">
        <v>760</v>
      </c>
      <c r="G10" s="29" t="s">
        <v>761</v>
      </c>
      <c r="H10" s="75">
        <v>42986</v>
      </c>
      <c r="I10" s="29" t="s">
        <v>762</v>
      </c>
      <c r="J10" s="2"/>
      <c r="K10" s="26"/>
      <c r="L10" s="26"/>
      <c r="M10" s="26"/>
    </row>
    <row r="11" spans="1:13">
      <c r="A11" s="2" t="s">
        <v>763</v>
      </c>
      <c r="B11" s="2" t="s">
        <v>764</v>
      </c>
      <c r="C11" s="2" t="s">
        <v>765</v>
      </c>
      <c r="D11" s="74"/>
      <c r="E11" s="26"/>
      <c r="F11" s="2" t="s">
        <v>766</v>
      </c>
      <c r="G11" s="29" t="s">
        <v>236</v>
      </c>
      <c r="H11" s="75">
        <v>42229</v>
      </c>
      <c r="I11" s="29" t="s">
        <v>767</v>
      </c>
      <c r="J11" s="2"/>
      <c r="K11" s="26"/>
      <c r="L11" s="26"/>
      <c r="M11" s="26"/>
    </row>
    <row r="12" spans="1:13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3">
      <c r="A13" s="26" t="s">
        <v>112</v>
      </c>
      <c r="B13" s="27" t="s">
        <v>768</v>
      </c>
      <c r="C13" s="26"/>
      <c r="D13" s="26"/>
      <c r="E13" s="26"/>
      <c r="F13" s="26" t="s">
        <v>248</v>
      </c>
      <c r="G13" s="27" t="s">
        <v>769</v>
      </c>
      <c r="H13" s="26"/>
      <c r="I13" s="26"/>
      <c r="J13" s="26"/>
      <c r="K13" s="26"/>
      <c r="L13" s="26"/>
      <c r="M13" s="26"/>
    </row>
    <row r="14" spans="1:13">
      <c r="A14" s="2" t="s">
        <v>360</v>
      </c>
      <c r="B14" s="2" t="s">
        <v>770</v>
      </c>
      <c r="C14" s="2" t="s">
        <v>771</v>
      </c>
      <c r="D14" s="90" t="s">
        <v>772</v>
      </c>
      <c r="E14" s="26"/>
      <c r="F14" s="2" t="s">
        <v>773</v>
      </c>
      <c r="G14" s="2" t="s">
        <v>774</v>
      </c>
      <c r="H14" s="2" t="s">
        <v>360</v>
      </c>
      <c r="I14" s="2" t="s">
        <v>306</v>
      </c>
      <c r="J14" s="90" t="s">
        <v>775</v>
      </c>
      <c r="K14" s="26"/>
      <c r="L14" s="138" t="s">
        <v>776</v>
      </c>
      <c r="M14" s="138"/>
    </row>
    <row r="15" spans="1:13">
      <c r="A15" s="2" t="s">
        <v>777</v>
      </c>
      <c r="B15" s="74">
        <v>44287</v>
      </c>
      <c r="C15" s="2">
        <v>4</v>
      </c>
      <c r="D15" s="74"/>
      <c r="E15" s="26"/>
      <c r="F15" s="2">
        <v>5</v>
      </c>
      <c r="G15" s="2">
        <v>1</v>
      </c>
      <c r="H15" s="2" t="s">
        <v>778</v>
      </c>
      <c r="I15" s="74">
        <v>42799</v>
      </c>
      <c r="J15" s="2"/>
      <c r="K15" s="26"/>
      <c r="L15" s="2" t="s">
        <v>779</v>
      </c>
      <c r="M15" s="2" t="s">
        <v>780</v>
      </c>
    </row>
    <row r="16" spans="1:13">
      <c r="A16" s="2" t="s">
        <v>781</v>
      </c>
      <c r="B16" s="74">
        <v>44287</v>
      </c>
      <c r="C16" s="2">
        <v>8</v>
      </c>
      <c r="D16" s="74"/>
      <c r="E16" s="26"/>
      <c r="F16" s="2">
        <v>5</v>
      </c>
      <c r="G16" s="2">
        <v>2</v>
      </c>
      <c r="H16" s="2" t="s">
        <v>782</v>
      </c>
      <c r="I16" s="74">
        <v>42996</v>
      </c>
      <c r="J16" s="2"/>
      <c r="K16" s="26"/>
      <c r="L16" s="2">
        <v>1</v>
      </c>
      <c r="M16" s="2" t="s">
        <v>783</v>
      </c>
    </row>
    <row r="17" spans="1:13">
      <c r="A17" s="2" t="s">
        <v>784</v>
      </c>
      <c r="B17" s="74">
        <v>44287</v>
      </c>
      <c r="C17" s="2">
        <v>5</v>
      </c>
      <c r="D17" s="74"/>
      <c r="E17" s="26"/>
      <c r="F17" s="2">
        <v>5</v>
      </c>
      <c r="G17" s="2">
        <v>3</v>
      </c>
      <c r="H17" s="2" t="s">
        <v>785</v>
      </c>
      <c r="I17" s="74">
        <v>42907</v>
      </c>
      <c r="J17" s="2"/>
      <c r="K17" s="26"/>
      <c r="L17" s="2">
        <v>2</v>
      </c>
      <c r="M17" s="2" t="s">
        <v>786</v>
      </c>
    </row>
    <row r="18" spans="1:13">
      <c r="A18" s="2" t="s">
        <v>787</v>
      </c>
      <c r="B18" s="74">
        <v>44296</v>
      </c>
      <c r="C18" s="2">
        <v>6</v>
      </c>
      <c r="D18" s="74"/>
      <c r="E18" s="26"/>
      <c r="F18" s="2">
        <v>5</v>
      </c>
      <c r="G18" s="2">
        <v>4</v>
      </c>
      <c r="H18" s="2" t="s">
        <v>788</v>
      </c>
      <c r="I18" s="74">
        <v>43070</v>
      </c>
      <c r="J18" s="2"/>
      <c r="K18" s="26"/>
      <c r="L18" s="2">
        <v>3</v>
      </c>
      <c r="M18" s="2" t="s">
        <v>789</v>
      </c>
    </row>
    <row r="19" spans="1:13">
      <c r="A19" s="2" t="s">
        <v>790</v>
      </c>
      <c r="B19" s="74">
        <v>44296</v>
      </c>
      <c r="C19" s="2">
        <v>7</v>
      </c>
      <c r="D19" s="74"/>
      <c r="E19" s="26"/>
      <c r="F19" s="2">
        <v>5</v>
      </c>
      <c r="G19" s="2">
        <v>5</v>
      </c>
      <c r="H19" s="2" t="s">
        <v>791</v>
      </c>
      <c r="I19" s="74">
        <v>42941</v>
      </c>
      <c r="J19" s="2"/>
      <c r="K19" s="26"/>
      <c r="L19" s="2">
        <v>4</v>
      </c>
      <c r="M19" s="2" t="s">
        <v>792</v>
      </c>
    </row>
    <row r="20" spans="1:13">
      <c r="A20" s="2" t="s">
        <v>793</v>
      </c>
      <c r="B20" s="74">
        <v>44296</v>
      </c>
      <c r="C20" s="2">
        <v>9</v>
      </c>
      <c r="D20" s="74"/>
      <c r="E20" s="26"/>
      <c r="F20" s="2">
        <v>6</v>
      </c>
      <c r="G20" s="2">
        <v>1</v>
      </c>
      <c r="H20" s="2" t="s">
        <v>794</v>
      </c>
      <c r="I20" s="74">
        <v>42465</v>
      </c>
      <c r="J20" s="2"/>
      <c r="K20" s="26"/>
      <c r="L20" s="2">
        <v>5</v>
      </c>
      <c r="M20" s="2" t="s">
        <v>795</v>
      </c>
    </row>
    <row r="21" spans="1:13">
      <c r="A21" s="2" t="s">
        <v>796</v>
      </c>
      <c r="B21" s="74">
        <v>44296</v>
      </c>
      <c r="C21" s="2">
        <v>4</v>
      </c>
      <c r="D21" s="74"/>
      <c r="E21" s="26"/>
      <c r="F21" s="2">
        <v>6</v>
      </c>
      <c r="G21" s="2">
        <v>2</v>
      </c>
      <c r="H21" s="2" t="s">
        <v>797</v>
      </c>
      <c r="I21" s="74">
        <v>42595</v>
      </c>
      <c r="J21" s="2"/>
      <c r="K21" s="26"/>
      <c r="L21" s="2">
        <v>6</v>
      </c>
      <c r="M21" s="2" t="s">
        <v>798</v>
      </c>
    </row>
    <row r="22" spans="1:13">
      <c r="A22" s="2" t="s">
        <v>799</v>
      </c>
      <c r="B22" s="74">
        <v>44302</v>
      </c>
      <c r="C22" s="2">
        <v>8</v>
      </c>
      <c r="D22" s="74"/>
      <c r="E22" s="26"/>
      <c r="F22" s="2">
        <v>6</v>
      </c>
      <c r="G22" s="2">
        <v>3</v>
      </c>
      <c r="H22" s="2" t="s">
        <v>800</v>
      </c>
      <c r="I22" s="74">
        <v>42683</v>
      </c>
      <c r="J22" s="2"/>
      <c r="K22" s="26"/>
      <c r="L22" s="2">
        <v>7</v>
      </c>
      <c r="M22" s="2" t="s">
        <v>801</v>
      </c>
    </row>
    <row r="23" spans="1:13">
      <c r="A23" s="2" t="s">
        <v>802</v>
      </c>
      <c r="B23" s="74">
        <v>44302</v>
      </c>
      <c r="C23" s="2">
        <v>5</v>
      </c>
      <c r="D23" s="74"/>
      <c r="E23" s="26"/>
      <c r="F23" s="2">
        <v>6</v>
      </c>
      <c r="G23" s="2">
        <v>4</v>
      </c>
      <c r="H23" s="2" t="s">
        <v>803</v>
      </c>
      <c r="I23" s="74">
        <v>42562</v>
      </c>
      <c r="J23" s="2"/>
      <c r="K23" s="26"/>
      <c r="L23" s="26"/>
      <c r="M23" s="26"/>
    </row>
    <row r="24" spans="1:13">
      <c r="A24" s="2" t="s">
        <v>804</v>
      </c>
      <c r="B24" s="74">
        <v>44302</v>
      </c>
      <c r="C24" s="2">
        <v>7</v>
      </c>
      <c r="D24" s="74"/>
      <c r="E24" s="26"/>
      <c r="F24" s="2">
        <v>6</v>
      </c>
      <c r="G24" s="2">
        <v>5</v>
      </c>
      <c r="H24" s="2" t="s">
        <v>805</v>
      </c>
      <c r="I24" s="74">
        <v>42590</v>
      </c>
      <c r="J24" s="2"/>
      <c r="K24" s="26"/>
      <c r="L24" s="26"/>
      <c r="M24" s="26"/>
    </row>
  </sheetData>
  <mergeCells count="1">
    <mergeCell ref="L14:M14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7"/>
  <cols>
    <col min="2" max="2" width="16.75" bestFit="1" customWidth="1"/>
    <col min="3" max="3" width="15.33203125" customWidth="1"/>
    <col min="4" max="4" width="13.5" customWidth="1"/>
    <col min="5" max="5" width="1.58203125" customWidth="1"/>
    <col min="8" max="8" width="11.08203125" bestFit="1" customWidth="1"/>
    <col min="9" max="9" width="16.33203125" bestFit="1" customWidth="1"/>
    <col min="10" max="10" width="11.08203125" bestFit="1" customWidth="1"/>
    <col min="11" max="11" width="1.58203125" customWidth="1"/>
  </cols>
  <sheetData>
    <row r="1" spans="1:13">
      <c r="A1" s="26" t="s">
        <v>65</v>
      </c>
      <c r="B1" s="27" t="s">
        <v>718</v>
      </c>
      <c r="C1" s="26"/>
      <c r="D1" s="26"/>
      <c r="E1" s="26"/>
      <c r="F1" s="26" t="s">
        <v>67</v>
      </c>
      <c r="G1" s="27" t="s">
        <v>358</v>
      </c>
      <c r="H1" s="26"/>
      <c r="I1" s="72" t="s">
        <v>720</v>
      </c>
      <c r="J1" s="73">
        <v>44198</v>
      </c>
      <c r="K1" s="26"/>
      <c r="L1" s="26"/>
      <c r="M1" s="26"/>
    </row>
    <row r="2" spans="1:13">
      <c r="A2" s="5" t="s">
        <v>177</v>
      </c>
      <c r="B2" s="5" t="s">
        <v>175</v>
      </c>
      <c r="C2" s="5" t="s">
        <v>722</v>
      </c>
      <c r="D2" s="92" t="s">
        <v>306</v>
      </c>
      <c r="E2" s="26"/>
      <c r="F2" s="86" t="s">
        <v>75</v>
      </c>
      <c r="G2" s="86" t="s">
        <v>482</v>
      </c>
      <c r="H2" s="86" t="s">
        <v>723</v>
      </c>
      <c r="I2" s="86" t="s">
        <v>722</v>
      </c>
      <c r="J2" s="91" t="s">
        <v>724</v>
      </c>
      <c r="K2" s="26"/>
      <c r="L2" s="26"/>
      <c r="M2" s="26"/>
    </row>
    <row r="3" spans="1:13">
      <c r="A3" s="86" t="s">
        <v>725</v>
      </c>
      <c r="B3" s="86" t="s">
        <v>726</v>
      </c>
      <c r="C3" s="86" t="s">
        <v>727</v>
      </c>
      <c r="D3" s="107">
        <f t="shared" ref="D3:D11" si="0">DATE(MID(C3,1,2),MID(C3,3,2),MID(C3,5,2))</f>
        <v>32478</v>
      </c>
      <c r="E3" s="26"/>
      <c r="F3" s="86" t="s">
        <v>728</v>
      </c>
      <c r="G3" s="88" t="s">
        <v>238</v>
      </c>
      <c r="H3" s="75">
        <v>43549</v>
      </c>
      <c r="I3" s="88" t="s">
        <v>730</v>
      </c>
      <c r="J3" s="98" t="str">
        <f t="shared" ref="J3:J11" si="1">YEAR($J$1)-YEAR(H3)&amp;"년차("&amp;YEAR($J$1)-(1900+LEFT(I3,2))&amp;")"</f>
        <v>2년차(29)</v>
      </c>
      <c r="K3" s="26"/>
      <c r="L3" s="26"/>
      <c r="M3" s="26"/>
    </row>
    <row r="4" spans="1:13">
      <c r="A4" s="86" t="s">
        <v>731</v>
      </c>
      <c r="B4" s="86" t="s">
        <v>732</v>
      </c>
      <c r="C4" s="86" t="s">
        <v>733</v>
      </c>
      <c r="D4" s="107">
        <f t="shared" si="0"/>
        <v>30522</v>
      </c>
      <c r="E4" s="26"/>
      <c r="F4" s="86" t="s">
        <v>734</v>
      </c>
      <c r="G4" s="88" t="s">
        <v>369</v>
      </c>
      <c r="H4" s="75">
        <v>42156</v>
      </c>
      <c r="I4" s="88" t="s">
        <v>735</v>
      </c>
      <c r="J4" s="98" t="str">
        <f t="shared" si="1"/>
        <v>6년차(36)</v>
      </c>
      <c r="K4" s="26"/>
      <c r="L4" s="26"/>
      <c r="M4" s="26"/>
    </row>
    <row r="5" spans="1:13">
      <c r="A5" s="86" t="s">
        <v>736</v>
      </c>
      <c r="B5" s="86" t="s">
        <v>737</v>
      </c>
      <c r="C5" s="86" t="s">
        <v>738</v>
      </c>
      <c r="D5" s="107">
        <f t="shared" si="0"/>
        <v>31658</v>
      </c>
      <c r="E5" s="26"/>
      <c r="F5" s="86" t="s">
        <v>739</v>
      </c>
      <c r="G5" s="88" t="s">
        <v>224</v>
      </c>
      <c r="H5" s="75">
        <v>43398</v>
      </c>
      <c r="I5" s="88" t="s">
        <v>740</v>
      </c>
      <c r="J5" s="98" t="str">
        <f t="shared" si="1"/>
        <v>3년차(32)</v>
      </c>
      <c r="K5" s="26"/>
      <c r="L5" s="26"/>
      <c r="M5" s="26"/>
    </row>
    <row r="6" spans="1:13">
      <c r="A6" s="86" t="s">
        <v>741</v>
      </c>
      <c r="B6" s="86" t="s">
        <v>742</v>
      </c>
      <c r="C6" s="86" t="s">
        <v>743</v>
      </c>
      <c r="D6" s="107">
        <f t="shared" si="0"/>
        <v>33833</v>
      </c>
      <c r="E6" s="26"/>
      <c r="F6" s="86" t="s">
        <v>744</v>
      </c>
      <c r="G6" s="88" t="s">
        <v>369</v>
      </c>
      <c r="H6" s="75">
        <v>42497</v>
      </c>
      <c r="I6" s="88" t="s">
        <v>745</v>
      </c>
      <c r="J6" s="98" t="str">
        <f t="shared" si="1"/>
        <v>5년차(37)</v>
      </c>
      <c r="K6" s="26"/>
      <c r="L6" s="26"/>
      <c r="M6" s="26"/>
    </row>
    <row r="7" spans="1:13">
      <c r="A7" s="86" t="s">
        <v>746</v>
      </c>
      <c r="B7" s="86" t="s">
        <v>732</v>
      </c>
      <c r="C7" s="86" t="s">
        <v>747</v>
      </c>
      <c r="D7" s="107">
        <f t="shared" si="0"/>
        <v>30999</v>
      </c>
      <c r="E7" s="26"/>
      <c r="F7" s="86" t="s">
        <v>748</v>
      </c>
      <c r="G7" s="88" t="s">
        <v>232</v>
      </c>
      <c r="H7" s="75">
        <v>41373</v>
      </c>
      <c r="I7" s="88" t="s">
        <v>749</v>
      </c>
      <c r="J7" s="98" t="str">
        <f t="shared" si="1"/>
        <v>8년차(30)</v>
      </c>
      <c r="K7" s="26"/>
      <c r="L7" s="26"/>
      <c r="M7" s="26"/>
    </row>
    <row r="8" spans="1:13">
      <c r="A8" s="86" t="s">
        <v>750</v>
      </c>
      <c r="B8" s="86" t="s">
        <v>726</v>
      </c>
      <c r="C8" s="86" t="s">
        <v>751</v>
      </c>
      <c r="D8" s="107">
        <f t="shared" si="0"/>
        <v>29882</v>
      </c>
      <c r="E8" s="26"/>
      <c r="F8" s="86" t="s">
        <v>752</v>
      </c>
      <c r="G8" s="88" t="s">
        <v>238</v>
      </c>
      <c r="H8" s="75">
        <v>43419</v>
      </c>
      <c r="I8" s="88" t="s">
        <v>753</v>
      </c>
      <c r="J8" s="98" t="str">
        <f t="shared" si="1"/>
        <v>3년차(26)</v>
      </c>
      <c r="K8" s="26"/>
      <c r="L8" s="26"/>
      <c r="M8" s="26"/>
    </row>
    <row r="9" spans="1:13">
      <c r="A9" s="86" t="s">
        <v>754</v>
      </c>
      <c r="B9" s="86" t="s">
        <v>726</v>
      </c>
      <c r="C9" s="86" t="s">
        <v>755</v>
      </c>
      <c r="D9" s="107">
        <f t="shared" si="0"/>
        <v>33241</v>
      </c>
      <c r="E9" s="26"/>
      <c r="F9" s="86" t="s">
        <v>756</v>
      </c>
      <c r="G9" s="88" t="s">
        <v>224</v>
      </c>
      <c r="H9" s="75">
        <v>40194</v>
      </c>
      <c r="I9" s="88" t="s">
        <v>757</v>
      </c>
      <c r="J9" s="98" t="str">
        <f t="shared" si="1"/>
        <v>11년차(35)</v>
      </c>
      <c r="K9" s="26"/>
      <c r="L9" s="26"/>
      <c r="M9" s="26"/>
    </row>
    <row r="10" spans="1:13">
      <c r="A10" s="86" t="s">
        <v>758</v>
      </c>
      <c r="B10" s="86" t="s">
        <v>742</v>
      </c>
      <c r="C10" s="86" t="s">
        <v>759</v>
      </c>
      <c r="D10" s="107">
        <f t="shared" si="0"/>
        <v>32357</v>
      </c>
      <c r="E10" s="26"/>
      <c r="F10" s="86" t="s">
        <v>760</v>
      </c>
      <c r="G10" s="88" t="s">
        <v>232</v>
      </c>
      <c r="H10" s="75">
        <v>42986</v>
      </c>
      <c r="I10" s="88" t="s">
        <v>762</v>
      </c>
      <c r="J10" s="98" t="str">
        <f t="shared" si="1"/>
        <v>4년차(32)</v>
      </c>
      <c r="K10" s="26"/>
      <c r="L10" s="26"/>
      <c r="M10" s="26"/>
    </row>
    <row r="11" spans="1:13">
      <c r="A11" s="86" t="s">
        <v>763</v>
      </c>
      <c r="B11" s="86" t="s">
        <v>737</v>
      </c>
      <c r="C11" s="86" t="s">
        <v>765</v>
      </c>
      <c r="D11" s="107">
        <f t="shared" si="0"/>
        <v>33041</v>
      </c>
      <c r="E11" s="26"/>
      <c r="F11" s="86" t="s">
        <v>766</v>
      </c>
      <c r="G11" s="88" t="s">
        <v>232</v>
      </c>
      <c r="H11" s="75">
        <v>42229</v>
      </c>
      <c r="I11" s="88" t="s">
        <v>767</v>
      </c>
      <c r="J11" s="98" t="str">
        <f t="shared" si="1"/>
        <v>6년차(31)</v>
      </c>
      <c r="K11" s="26"/>
      <c r="L11" s="26"/>
      <c r="M11" s="26"/>
    </row>
    <row r="12" spans="1:13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3">
      <c r="A13" s="26" t="s">
        <v>112</v>
      </c>
      <c r="B13" s="27" t="s">
        <v>768</v>
      </c>
      <c r="C13" s="26"/>
      <c r="D13" s="26"/>
      <c r="E13" s="26"/>
      <c r="F13" s="26" t="s">
        <v>114</v>
      </c>
      <c r="G13" s="27" t="s">
        <v>769</v>
      </c>
      <c r="H13" s="26"/>
      <c r="I13" s="26"/>
      <c r="J13" s="26"/>
      <c r="K13" s="26"/>
      <c r="L13" s="26"/>
      <c r="M13" s="26"/>
    </row>
    <row r="14" spans="1:13">
      <c r="A14" s="86" t="s">
        <v>177</v>
      </c>
      <c r="B14" s="86" t="s">
        <v>770</v>
      </c>
      <c r="C14" s="86" t="s">
        <v>771</v>
      </c>
      <c r="D14" s="91" t="s">
        <v>772</v>
      </c>
      <c r="E14" s="26"/>
      <c r="F14" s="86" t="s">
        <v>773</v>
      </c>
      <c r="G14" s="86" t="s">
        <v>774</v>
      </c>
      <c r="H14" s="86" t="s">
        <v>177</v>
      </c>
      <c r="I14" s="86" t="s">
        <v>306</v>
      </c>
      <c r="J14" s="91" t="s">
        <v>775</v>
      </c>
      <c r="K14" s="26"/>
      <c r="L14" s="138" t="s">
        <v>776</v>
      </c>
      <c r="M14" s="138"/>
    </row>
    <row r="15" spans="1:13">
      <c r="A15" s="86" t="s">
        <v>777</v>
      </c>
      <c r="B15" s="74">
        <v>44287</v>
      </c>
      <c r="C15" s="86">
        <v>4</v>
      </c>
      <c r="D15" s="107">
        <f>WORKDAY(B15,C15)</f>
        <v>44293</v>
      </c>
      <c r="E15" s="26"/>
      <c r="F15" s="86">
        <v>5</v>
      </c>
      <c r="G15" s="86">
        <v>1</v>
      </c>
      <c r="H15" s="86" t="s">
        <v>778</v>
      </c>
      <c r="I15" s="74">
        <v>42799</v>
      </c>
      <c r="J15" s="98" t="str">
        <f>VLOOKUP(WEEKDAY(I15,2),$L$16:$M$22,2,0)</f>
        <v>일요일</v>
      </c>
      <c r="K15" s="26"/>
      <c r="L15" s="86" t="s">
        <v>69</v>
      </c>
      <c r="M15" s="86" t="s">
        <v>780</v>
      </c>
    </row>
    <row r="16" spans="1:13">
      <c r="A16" s="86" t="s">
        <v>781</v>
      </c>
      <c r="B16" s="74">
        <v>44287</v>
      </c>
      <c r="C16" s="86">
        <v>8</v>
      </c>
      <c r="D16" s="107">
        <f t="shared" ref="D16:D24" si="2">WORKDAY(B16,C16)</f>
        <v>44299</v>
      </c>
      <c r="E16" s="26"/>
      <c r="F16" s="86">
        <v>5</v>
      </c>
      <c r="G16" s="86">
        <v>2</v>
      </c>
      <c r="H16" s="86" t="s">
        <v>782</v>
      </c>
      <c r="I16" s="74">
        <v>42996</v>
      </c>
      <c r="J16" s="98" t="str">
        <f t="shared" ref="J16:J24" si="3">VLOOKUP(WEEKDAY(I16,2),$L$16:$M$22,2,0)</f>
        <v>월요일</v>
      </c>
      <c r="K16" s="26"/>
      <c r="L16" s="86">
        <v>1</v>
      </c>
      <c r="M16" s="86" t="s">
        <v>783</v>
      </c>
    </row>
    <row r="17" spans="1:13">
      <c r="A17" s="86" t="s">
        <v>784</v>
      </c>
      <c r="B17" s="74">
        <v>44287</v>
      </c>
      <c r="C17" s="86">
        <v>5</v>
      </c>
      <c r="D17" s="107">
        <f t="shared" si="2"/>
        <v>44294</v>
      </c>
      <c r="E17" s="26"/>
      <c r="F17" s="86">
        <v>5</v>
      </c>
      <c r="G17" s="86">
        <v>3</v>
      </c>
      <c r="H17" s="86" t="s">
        <v>785</v>
      </c>
      <c r="I17" s="74">
        <v>42907</v>
      </c>
      <c r="J17" s="98" t="str">
        <f t="shared" si="3"/>
        <v>수요일</v>
      </c>
      <c r="K17" s="26"/>
      <c r="L17" s="86">
        <v>2</v>
      </c>
      <c r="M17" s="86" t="s">
        <v>786</v>
      </c>
    </row>
    <row r="18" spans="1:13">
      <c r="A18" s="86" t="s">
        <v>787</v>
      </c>
      <c r="B18" s="74">
        <v>44296</v>
      </c>
      <c r="C18" s="86">
        <v>6</v>
      </c>
      <c r="D18" s="107">
        <f t="shared" si="2"/>
        <v>44305</v>
      </c>
      <c r="E18" s="26"/>
      <c r="F18" s="86">
        <v>5</v>
      </c>
      <c r="G18" s="86">
        <v>4</v>
      </c>
      <c r="H18" s="86" t="s">
        <v>788</v>
      </c>
      <c r="I18" s="74">
        <v>43070</v>
      </c>
      <c r="J18" s="98" t="str">
        <f t="shared" si="3"/>
        <v>금요일</v>
      </c>
      <c r="K18" s="26"/>
      <c r="L18" s="86">
        <v>3</v>
      </c>
      <c r="M18" s="86" t="s">
        <v>789</v>
      </c>
    </row>
    <row r="19" spans="1:13">
      <c r="A19" s="86" t="s">
        <v>790</v>
      </c>
      <c r="B19" s="74">
        <v>44296</v>
      </c>
      <c r="C19" s="86">
        <v>7</v>
      </c>
      <c r="D19" s="107">
        <f t="shared" si="2"/>
        <v>44306</v>
      </c>
      <c r="E19" s="26"/>
      <c r="F19" s="86">
        <v>5</v>
      </c>
      <c r="G19" s="86">
        <v>5</v>
      </c>
      <c r="H19" s="86" t="s">
        <v>791</v>
      </c>
      <c r="I19" s="74">
        <v>42941</v>
      </c>
      <c r="J19" s="98" t="str">
        <f t="shared" si="3"/>
        <v>화요일</v>
      </c>
      <c r="K19" s="26"/>
      <c r="L19" s="86">
        <v>4</v>
      </c>
      <c r="M19" s="86" t="s">
        <v>792</v>
      </c>
    </row>
    <row r="20" spans="1:13">
      <c r="A20" s="86" t="s">
        <v>793</v>
      </c>
      <c r="B20" s="74">
        <v>44296</v>
      </c>
      <c r="C20" s="86">
        <v>9</v>
      </c>
      <c r="D20" s="107">
        <f t="shared" si="2"/>
        <v>44308</v>
      </c>
      <c r="E20" s="26"/>
      <c r="F20" s="86">
        <v>6</v>
      </c>
      <c r="G20" s="86">
        <v>1</v>
      </c>
      <c r="H20" s="86" t="s">
        <v>199</v>
      </c>
      <c r="I20" s="74">
        <v>42465</v>
      </c>
      <c r="J20" s="98" t="str">
        <f t="shared" si="3"/>
        <v>화요일</v>
      </c>
      <c r="K20" s="26"/>
      <c r="L20" s="86">
        <v>5</v>
      </c>
      <c r="M20" s="86" t="s">
        <v>795</v>
      </c>
    </row>
    <row r="21" spans="1:13">
      <c r="A21" s="86" t="s">
        <v>796</v>
      </c>
      <c r="B21" s="74">
        <v>44296</v>
      </c>
      <c r="C21" s="86">
        <v>4</v>
      </c>
      <c r="D21" s="107">
        <f t="shared" si="2"/>
        <v>44301</v>
      </c>
      <c r="E21" s="26"/>
      <c r="F21" s="86">
        <v>6</v>
      </c>
      <c r="G21" s="86">
        <v>2</v>
      </c>
      <c r="H21" s="86" t="s">
        <v>797</v>
      </c>
      <c r="I21" s="74">
        <v>42595</v>
      </c>
      <c r="J21" s="98" t="str">
        <f t="shared" si="3"/>
        <v>토요일</v>
      </c>
      <c r="K21" s="26"/>
      <c r="L21" s="86">
        <v>6</v>
      </c>
      <c r="M21" s="86" t="s">
        <v>798</v>
      </c>
    </row>
    <row r="22" spans="1:13">
      <c r="A22" s="86" t="s">
        <v>799</v>
      </c>
      <c r="B22" s="74">
        <v>44302</v>
      </c>
      <c r="C22" s="86">
        <v>8</v>
      </c>
      <c r="D22" s="107">
        <f t="shared" si="2"/>
        <v>44314</v>
      </c>
      <c r="E22" s="26"/>
      <c r="F22" s="86">
        <v>6</v>
      </c>
      <c r="G22" s="86">
        <v>3</v>
      </c>
      <c r="H22" s="86" t="s">
        <v>800</v>
      </c>
      <c r="I22" s="74">
        <v>42683</v>
      </c>
      <c r="J22" s="98" t="str">
        <f t="shared" si="3"/>
        <v>수요일</v>
      </c>
      <c r="K22" s="26"/>
      <c r="L22" s="86">
        <v>7</v>
      </c>
      <c r="M22" s="86" t="s">
        <v>801</v>
      </c>
    </row>
    <row r="23" spans="1:13">
      <c r="A23" s="86" t="s">
        <v>802</v>
      </c>
      <c r="B23" s="74">
        <v>44302</v>
      </c>
      <c r="C23" s="86">
        <v>5</v>
      </c>
      <c r="D23" s="107">
        <f t="shared" si="2"/>
        <v>44309</v>
      </c>
      <c r="E23" s="26"/>
      <c r="F23" s="86">
        <v>6</v>
      </c>
      <c r="G23" s="86">
        <v>4</v>
      </c>
      <c r="H23" s="86" t="s">
        <v>803</v>
      </c>
      <c r="I23" s="74">
        <v>42562</v>
      </c>
      <c r="J23" s="98" t="str">
        <f t="shared" si="3"/>
        <v>월요일</v>
      </c>
      <c r="K23" s="26"/>
      <c r="L23" s="26"/>
      <c r="M23" s="26"/>
    </row>
    <row r="24" spans="1:13">
      <c r="A24" s="86" t="s">
        <v>804</v>
      </c>
      <c r="B24" s="74">
        <v>44302</v>
      </c>
      <c r="C24" s="86">
        <v>7</v>
      </c>
      <c r="D24" s="107">
        <f t="shared" si="2"/>
        <v>44313</v>
      </c>
      <c r="E24" s="26"/>
      <c r="F24" s="86">
        <v>6</v>
      </c>
      <c r="G24" s="86">
        <v>5</v>
      </c>
      <c r="H24" s="86" t="s">
        <v>805</v>
      </c>
      <c r="I24" s="74">
        <v>42590</v>
      </c>
      <c r="J24" s="98" t="str">
        <f t="shared" si="3"/>
        <v>월요일</v>
      </c>
      <c r="K24" s="26"/>
      <c r="L24" s="26"/>
      <c r="M24" s="26"/>
    </row>
  </sheetData>
  <mergeCells count="1">
    <mergeCell ref="L14:M14"/>
  </mergeCells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/>
  </sheetViews>
  <sheetFormatPr defaultRowHeight="17"/>
  <cols>
    <col min="2" max="2" width="14" bestFit="1" customWidth="1"/>
    <col min="3" max="3" width="13.5" customWidth="1"/>
    <col min="4" max="4" width="13.25" customWidth="1"/>
    <col min="5" max="5" width="1.58203125" customWidth="1"/>
    <col min="8" max="8" width="12.75" customWidth="1"/>
    <col min="9" max="9" width="13.58203125" customWidth="1"/>
  </cols>
  <sheetData>
    <row r="1" spans="1:9">
      <c r="A1" s="26" t="s">
        <v>65</v>
      </c>
      <c r="B1" s="76" t="s">
        <v>806</v>
      </c>
      <c r="C1" s="34"/>
      <c r="D1" s="34"/>
      <c r="E1" s="26"/>
      <c r="F1" s="3" t="s">
        <v>807</v>
      </c>
      <c r="G1" s="77" t="s">
        <v>808</v>
      </c>
      <c r="H1" s="17"/>
      <c r="I1" s="7"/>
    </row>
    <row r="2" spans="1:9">
      <c r="A2" s="35" t="s">
        <v>809</v>
      </c>
      <c r="B2" s="35" t="s">
        <v>177</v>
      </c>
      <c r="C2" s="35" t="s">
        <v>810</v>
      </c>
      <c r="D2" s="94" t="s">
        <v>780</v>
      </c>
      <c r="E2" s="26"/>
      <c r="F2" s="86" t="s">
        <v>811</v>
      </c>
      <c r="G2" s="86" t="s">
        <v>401</v>
      </c>
      <c r="H2" s="86" t="s">
        <v>813</v>
      </c>
      <c r="I2" s="91" t="s">
        <v>814</v>
      </c>
    </row>
    <row r="3" spans="1:9">
      <c r="A3" s="35" t="s">
        <v>815</v>
      </c>
      <c r="B3" s="35" t="s">
        <v>816</v>
      </c>
      <c r="C3" s="36">
        <v>44331</v>
      </c>
      <c r="D3" s="35"/>
      <c r="E3" s="26"/>
      <c r="F3" s="86" t="s">
        <v>817</v>
      </c>
      <c r="G3" s="86" t="s">
        <v>818</v>
      </c>
      <c r="H3" s="74">
        <v>37428</v>
      </c>
      <c r="I3" s="78"/>
    </row>
    <row r="4" spans="1:9">
      <c r="A4" s="35" t="s">
        <v>706</v>
      </c>
      <c r="B4" s="35" t="s">
        <v>819</v>
      </c>
      <c r="C4" s="36">
        <v>44493</v>
      </c>
      <c r="D4" s="35"/>
      <c r="E4" s="26"/>
      <c r="F4" s="86" t="s">
        <v>820</v>
      </c>
      <c r="G4" s="86" t="s">
        <v>821</v>
      </c>
      <c r="H4" s="74">
        <v>42900</v>
      </c>
      <c r="I4" s="78"/>
    </row>
    <row r="5" spans="1:9">
      <c r="A5" s="35" t="s">
        <v>204</v>
      </c>
      <c r="B5" s="35" t="s">
        <v>823</v>
      </c>
      <c r="C5" s="36">
        <v>44260</v>
      </c>
      <c r="D5" s="35"/>
      <c r="E5" s="26"/>
      <c r="F5" s="86" t="s">
        <v>824</v>
      </c>
      <c r="G5" s="86" t="s">
        <v>818</v>
      </c>
      <c r="H5" s="74">
        <v>37171</v>
      </c>
      <c r="I5" s="78"/>
    </row>
    <row r="6" spans="1:9">
      <c r="A6" s="35" t="s">
        <v>708</v>
      </c>
      <c r="B6" s="35" t="s">
        <v>825</v>
      </c>
      <c r="C6" s="36">
        <v>44425</v>
      </c>
      <c r="D6" s="35"/>
      <c r="E6" s="26"/>
      <c r="F6" s="86" t="s">
        <v>826</v>
      </c>
      <c r="G6" s="86" t="s">
        <v>827</v>
      </c>
      <c r="H6" s="74">
        <v>40878</v>
      </c>
      <c r="I6" s="78"/>
    </row>
    <row r="7" spans="1:9">
      <c r="A7" s="35" t="s">
        <v>828</v>
      </c>
      <c r="B7" s="35" t="s">
        <v>829</v>
      </c>
      <c r="C7" s="36">
        <v>44512</v>
      </c>
      <c r="D7" s="35"/>
      <c r="E7" s="26"/>
      <c r="F7" s="86" t="s">
        <v>830</v>
      </c>
      <c r="G7" s="86" t="s">
        <v>831</v>
      </c>
      <c r="H7" s="74">
        <v>42088</v>
      </c>
      <c r="I7" s="78"/>
    </row>
    <row r="8" spans="1:9">
      <c r="A8" s="35" t="s">
        <v>832</v>
      </c>
      <c r="B8" s="35" t="s">
        <v>833</v>
      </c>
      <c r="C8" s="36">
        <v>44542</v>
      </c>
      <c r="D8" s="35"/>
      <c r="E8" s="26"/>
      <c r="F8" s="86" t="s">
        <v>834</v>
      </c>
      <c r="G8" s="86" t="s">
        <v>821</v>
      </c>
      <c r="H8" s="74">
        <v>41008</v>
      </c>
      <c r="I8" s="78"/>
    </row>
    <row r="9" spans="1:9">
      <c r="A9" s="35" t="s">
        <v>835</v>
      </c>
      <c r="B9" s="35" t="s">
        <v>836</v>
      </c>
      <c r="C9" s="36">
        <v>44252</v>
      </c>
      <c r="D9" s="35"/>
      <c r="E9" s="26"/>
      <c r="F9" s="86" t="s">
        <v>837</v>
      </c>
      <c r="G9" s="86" t="s">
        <v>827</v>
      </c>
      <c r="H9" s="74">
        <v>42479</v>
      </c>
      <c r="I9" s="78"/>
    </row>
    <row r="10" spans="1:9">
      <c r="A10" s="26"/>
      <c r="B10" s="26"/>
      <c r="C10" s="26"/>
      <c r="D10" s="26"/>
      <c r="E10" s="26"/>
      <c r="F10" s="26"/>
      <c r="G10" s="26"/>
      <c r="H10" s="26"/>
      <c r="I10" s="26"/>
    </row>
    <row r="11" spans="1:9">
      <c r="A11" s="26" t="s">
        <v>112</v>
      </c>
      <c r="B11" s="26"/>
      <c r="C11" s="26"/>
      <c r="D11" s="26"/>
      <c r="E11" s="26"/>
      <c r="F11" s="26" t="s">
        <v>114</v>
      </c>
      <c r="G11" s="26" t="s">
        <v>838</v>
      </c>
      <c r="H11" s="26"/>
      <c r="I11" s="26"/>
    </row>
    <row r="12" spans="1:9">
      <c r="A12" s="79" t="s">
        <v>32</v>
      </c>
      <c r="B12" s="79" t="s">
        <v>839</v>
      </c>
      <c r="C12" s="95" t="s">
        <v>840</v>
      </c>
      <c r="D12" s="26"/>
      <c r="E12" s="26"/>
      <c r="F12" s="86" t="s">
        <v>841</v>
      </c>
      <c r="G12" s="86" t="s">
        <v>842</v>
      </c>
      <c r="H12" s="86" t="s">
        <v>843</v>
      </c>
      <c r="I12" s="91" t="s">
        <v>844</v>
      </c>
    </row>
    <row r="13" spans="1:9">
      <c r="A13" s="79" t="s">
        <v>845</v>
      </c>
      <c r="B13" s="80">
        <v>45433</v>
      </c>
      <c r="C13" s="86"/>
      <c r="D13" s="26"/>
      <c r="E13" s="26"/>
      <c r="F13" s="86" t="s">
        <v>846</v>
      </c>
      <c r="G13" s="86" t="s">
        <v>847</v>
      </c>
      <c r="H13" s="81">
        <v>0.54861111111111105</v>
      </c>
      <c r="I13" s="86"/>
    </row>
    <row r="14" spans="1:9">
      <c r="A14" s="79" t="s">
        <v>848</v>
      </c>
      <c r="B14" s="80">
        <v>45404</v>
      </c>
      <c r="C14" s="86"/>
      <c r="D14" s="26"/>
      <c r="E14" s="26"/>
      <c r="F14" s="86" t="s">
        <v>849</v>
      </c>
      <c r="G14" s="86" t="s">
        <v>850</v>
      </c>
      <c r="H14" s="81">
        <v>0.63194444444444442</v>
      </c>
      <c r="I14" s="86"/>
    </row>
    <row r="15" spans="1:9">
      <c r="A15" s="79" t="s">
        <v>851</v>
      </c>
      <c r="B15" s="80">
        <v>45314</v>
      </c>
      <c r="C15" s="86"/>
      <c r="D15" s="26"/>
      <c r="E15" s="26"/>
      <c r="F15" s="86" t="s">
        <v>852</v>
      </c>
      <c r="G15" s="86" t="s">
        <v>853</v>
      </c>
      <c r="H15" s="81">
        <v>0.59027777777777779</v>
      </c>
      <c r="I15" s="86"/>
    </row>
    <row r="16" spans="1:9">
      <c r="A16" s="79" t="s">
        <v>854</v>
      </c>
      <c r="B16" s="80">
        <v>45497</v>
      </c>
      <c r="C16" s="86"/>
      <c r="D16" s="26"/>
      <c r="E16" s="26"/>
      <c r="F16" s="86" t="s">
        <v>179</v>
      </c>
      <c r="G16" s="86" t="s">
        <v>856</v>
      </c>
      <c r="H16" s="81">
        <v>0.63194444444444442</v>
      </c>
      <c r="I16" s="86"/>
    </row>
    <row r="17" spans="1:9">
      <c r="A17" s="79" t="s">
        <v>857</v>
      </c>
      <c r="B17" s="80">
        <v>45376</v>
      </c>
      <c r="C17" s="86"/>
      <c r="D17" s="26"/>
      <c r="E17" s="26"/>
      <c r="F17" s="86" t="s">
        <v>858</v>
      </c>
      <c r="G17" s="86" t="s">
        <v>859</v>
      </c>
      <c r="H17" s="81">
        <v>0.54861111111111105</v>
      </c>
      <c r="I17" s="86"/>
    </row>
    <row r="18" spans="1:9">
      <c r="A18" s="79" t="s">
        <v>860</v>
      </c>
      <c r="B18" s="80">
        <v>45410</v>
      </c>
      <c r="C18" s="86"/>
      <c r="D18" s="26"/>
      <c r="E18" s="26"/>
      <c r="F18" s="26"/>
      <c r="G18" s="26"/>
      <c r="H18" s="26"/>
      <c r="I18" s="26"/>
    </row>
    <row r="19" spans="1:9">
      <c r="A19" s="79" t="s">
        <v>861</v>
      </c>
      <c r="B19" s="80">
        <v>45502</v>
      </c>
      <c r="C19" s="86"/>
      <c r="D19" s="26"/>
      <c r="E19" s="26"/>
      <c r="F19" s="26"/>
      <c r="G19" s="26"/>
      <c r="H19" s="26"/>
      <c r="I19" s="26"/>
    </row>
    <row r="20" spans="1:9">
      <c r="A20" s="79" t="s">
        <v>862</v>
      </c>
      <c r="B20" s="80">
        <v>45473</v>
      </c>
      <c r="C20" s="86"/>
      <c r="D20" s="26"/>
      <c r="E20" s="26"/>
      <c r="F20" s="26"/>
      <c r="G20" s="26"/>
      <c r="H20" s="26"/>
      <c r="I20" s="26"/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/>
  </sheetViews>
  <sheetFormatPr defaultRowHeight="17"/>
  <cols>
    <col min="2" max="2" width="14" bestFit="1" customWidth="1"/>
    <col min="3" max="3" width="13.5" customWidth="1"/>
    <col min="4" max="4" width="13.25" customWidth="1"/>
    <col min="5" max="5" width="1.58203125" customWidth="1"/>
    <col min="8" max="8" width="12.75" customWidth="1"/>
    <col min="9" max="9" width="13.58203125" customWidth="1"/>
  </cols>
  <sheetData>
    <row r="1" spans="1:9">
      <c r="A1" s="26" t="s">
        <v>214</v>
      </c>
      <c r="B1" s="76" t="s">
        <v>806</v>
      </c>
      <c r="C1" s="34"/>
      <c r="D1" s="34"/>
      <c r="E1" s="26"/>
      <c r="F1" s="3" t="s">
        <v>807</v>
      </c>
      <c r="G1" s="77" t="s">
        <v>808</v>
      </c>
      <c r="H1" s="17"/>
      <c r="I1" s="7"/>
    </row>
    <row r="2" spans="1:9">
      <c r="A2" s="35" t="s">
        <v>809</v>
      </c>
      <c r="B2" s="35" t="s">
        <v>360</v>
      </c>
      <c r="C2" s="35" t="s">
        <v>810</v>
      </c>
      <c r="D2" s="94" t="s">
        <v>780</v>
      </c>
      <c r="E2" s="26"/>
      <c r="F2" s="2" t="s">
        <v>811</v>
      </c>
      <c r="G2" s="2" t="s">
        <v>812</v>
      </c>
      <c r="H2" s="2" t="s">
        <v>813</v>
      </c>
      <c r="I2" s="90" t="s">
        <v>814</v>
      </c>
    </row>
    <row r="3" spans="1:9">
      <c r="A3" s="35" t="s">
        <v>815</v>
      </c>
      <c r="B3" s="35" t="s">
        <v>816</v>
      </c>
      <c r="C3" s="36">
        <v>44331</v>
      </c>
      <c r="D3" s="108" t="str">
        <f t="shared" ref="D3:D9" si="0">IF(WEEKDAY(C3,2)&lt;=5,"평일","주말")</f>
        <v>주말</v>
      </c>
      <c r="E3" s="26"/>
      <c r="F3" s="2" t="s">
        <v>817</v>
      </c>
      <c r="G3" s="2" t="s">
        <v>818</v>
      </c>
      <c r="H3" s="74">
        <v>37428</v>
      </c>
      <c r="I3" s="109">
        <f ca="1">YEAR(TODAY())-YEAR(H3)</f>
        <v>18</v>
      </c>
    </row>
    <row r="4" spans="1:9">
      <c r="A4" s="35" t="s">
        <v>713</v>
      </c>
      <c r="B4" s="35" t="s">
        <v>819</v>
      </c>
      <c r="C4" s="36">
        <v>44493</v>
      </c>
      <c r="D4" s="108" t="str">
        <f t="shared" si="0"/>
        <v>주말</v>
      </c>
      <c r="E4" s="26"/>
      <c r="F4" s="2" t="s">
        <v>820</v>
      </c>
      <c r="G4" s="2" t="s">
        <v>821</v>
      </c>
      <c r="H4" s="74">
        <v>42900</v>
      </c>
      <c r="I4" s="109">
        <f t="shared" ref="I4:I9" ca="1" si="1">YEAR(TODAY())-YEAR(H4)</f>
        <v>3</v>
      </c>
    </row>
    <row r="5" spans="1:9">
      <c r="A5" s="35" t="s">
        <v>822</v>
      </c>
      <c r="B5" s="35" t="s">
        <v>823</v>
      </c>
      <c r="C5" s="36">
        <v>44260</v>
      </c>
      <c r="D5" s="108" t="str">
        <f t="shared" si="0"/>
        <v>평일</v>
      </c>
      <c r="E5" s="26"/>
      <c r="F5" s="2" t="s">
        <v>824</v>
      </c>
      <c r="G5" s="2" t="s">
        <v>818</v>
      </c>
      <c r="H5" s="74">
        <v>37171</v>
      </c>
      <c r="I5" s="109">
        <f t="shared" ca="1" si="1"/>
        <v>19</v>
      </c>
    </row>
    <row r="6" spans="1:9">
      <c r="A6" s="35" t="s">
        <v>708</v>
      </c>
      <c r="B6" s="35" t="s">
        <v>825</v>
      </c>
      <c r="C6" s="36">
        <v>44425</v>
      </c>
      <c r="D6" s="108" t="str">
        <f t="shared" si="0"/>
        <v>평일</v>
      </c>
      <c r="E6" s="26"/>
      <c r="F6" s="2" t="s">
        <v>826</v>
      </c>
      <c r="G6" s="2" t="s">
        <v>827</v>
      </c>
      <c r="H6" s="74">
        <v>40878</v>
      </c>
      <c r="I6" s="109">
        <f t="shared" ca="1" si="1"/>
        <v>9</v>
      </c>
    </row>
    <row r="7" spans="1:9">
      <c r="A7" s="35" t="s">
        <v>828</v>
      </c>
      <c r="B7" s="35" t="s">
        <v>829</v>
      </c>
      <c r="C7" s="36">
        <v>44512</v>
      </c>
      <c r="D7" s="108" t="str">
        <f t="shared" si="0"/>
        <v>평일</v>
      </c>
      <c r="E7" s="26"/>
      <c r="F7" s="2" t="s">
        <v>830</v>
      </c>
      <c r="G7" s="2" t="s">
        <v>831</v>
      </c>
      <c r="H7" s="74">
        <v>42088</v>
      </c>
      <c r="I7" s="109">
        <f t="shared" ca="1" si="1"/>
        <v>5</v>
      </c>
    </row>
    <row r="8" spans="1:9">
      <c r="A8" s="35" t="s">
        <v>832</v>
      </c>
      <c r="B8" s="35" t="s">
        <v>833</v>
      </c>
      <c r="C8" s="36">
        <v>44542</v>
      </c>
      <c r="D8" s="108" t="str">
        <f t="shared" si="0"/>
        <v>주말</v>
      </c>
      <c r="E8" s="26"/>
      <c r="F8" s="2" t="s">
        <v>834</v>
      </c>
      <c r="G8" s="2" t="s">
        <v>821</v>
      </c>
      <c r="H8" s="74">
        <v>41008</v>
      </c>
      <c r="I8" s="109">
        <f t="shared" ca="1" si="1"/>
        <v>8</v>
      </c>
    </row>
    <row r="9" spans="1:9">
      <c r="A9" s="35" t="s">
        <v>835</v>
      </c>
      <c r="B9" s="35" t="s">
        <v>836</v>
      </c>
      <c r="C9" s="36">
        <v>44252</v>
      </c>
      <c r="D9" s="108" t="str">
        <f t="shared" si="0"/>
        <v>평일</v>
      </c>
      <c r="E9" s="26"/>
      <c r="F9" s="2" t="s">
        <v>837</v>
      </c>
      <c r="G9" s="2" t="s">
        <v>827</v>
      </c>
      <c r="H9" s="74">
        <v>42479</v>
      </c>
      <c r="I9" s="109">
        <f t="shared" ca="1" si="1"/>
        <v>4</v>
      </c>
    </row>
    <row r="10" spans="1:9">
      <c r="A10" s="26"/>
      <c r="B10" s="26"/>
      <c r="C10" s="26"/>
      <c r="D10" s="26"/>
      <c r="E10" s="26"/>
      <c r="F10" s="26"/>
      <c r="G10" s="26"/>
      <c r="H10" s="26"/>
      <c r="I10" s="26"/>
    </row>
    <row r="11" spans="1:9">
      <c r="A11" s="26" t="s">
        <v>112</v>
      </c>
      <c r="B11" s="26"/>
      <c r="C11" s="26"/>
      <c r="D11" s="26"/>
      <c r="E11" s="26"/>
      <c r="F11" s="26" t="s">
        <v>248</v>
      </c>
      <c r="G11" s="26" t="s">
        <v>838</v>
      </c>
      <c r="H11" s="26"/>
      <c r="I11" s="26"/>
    </row>
    <row r="12" spans="1:9">
      <c r="A12" s="79" t="s">
        <v>32</v>
      </c>
      <c r="B12" s="79" t="s">
        <v>839</v>
      </c>
      <c r="C12" s="95" t="s">
        <v>840</v>
      </c>
      <c r="D12" s="26"/>
      <c r="E12" s="26"/>
      <c r="F12" s="2" t="s">
        <v>841</v>
      </c>
      <c r="G12" s="2" t="s">
        <v>842</v>
      </c>
      <c r="H12" s="2" t="s">
        <v>843</v>
      </c>
      <c r="I12" s="90" t="s">
        <v>844</v>
      </c>
    </row>
    <row r="13" spans="1:9">
      <c r="A13" s="79" t="s">
        <v>845</v>
      </c>
      <c r="B13" s="80">
        <v>45433</v>
      </c>
      <c r="C13" s="98">
        <f ca="1">_xlfn.DAYS(B13,TODAY())</f>
        <v>1386</v>
      </c>
      <c r="D13" s="26"/>
      <c r="E13" s="26"/>
      <c r="F13" s="2" t="s">
        <v>846</v>
      </c>
      <c r="G13" s="2" t="s">
        <v>847</v>
      </c>
      <c r="H13" s="81">
        <v>0.54861111111111105</v>
      </c>
      <c r="I13" s="98" t="str">
        <f>HOUR(H13)&amp;"시"</f>
        <v>13시</v>
      </c>
    </row>
    <row r="14" spans="1:9">
      <c r="A14" s="79" t="s">
        <v>848</v>
      </c>
      <c r="B14" s="80">
        <v>45404</v>
      </c>
      <c r="C14" s="98">
        <f t="shared" ref="C14:C20" ca="1" si="2">_xlfn.DAYS(B14,TODAY())</f>
        <v>1357</v>
      </c>
      <c r="D14" s="26"/>
      <c r="E14" s="26"/>
      <c r="F14" s="2" t="s">
        <v>849</v>
      </c>
      <c r="G14" s="2" t="s">
        <v>850</v>
      </c>
      <c r="H14" s="81">
        <v>0.63194444444444442</v>
      </c>
      <c r="I14" s="98" t="str">
        <f t="shared" ref="I14:I17" si="3">HOUR(H14)&amp;"시"</f>
        <v>15시</v>
      </c>
    </row>
    <row r="15" spans="1:9">
      <c r="A15" s="79" t="s">
        <v>851</v>
      </c>
      <c r="B15" s="80">
        <v>45314</v>
      </c>
      <c r="C15" s="98">
        <f t="shared" ca="1" si="2"/>
        <v>1267</v>
      </c>
      <c r="D15" s="26"/>
      <c r="E15" s="26"/>
      <c r="F15" s="2" t="s">
        <v>852</v>
      </c>
      <c r="G15" s="2" t="s">
        <v>853</v>
      </c>
      <c r="H15" s="81">
        <v>0.59027777777777779</v>
      </c>
      <c r="I15" s="98" t="str">
        <f t="shared" si="3"/>
        <v>14시</v>
      </c>
    </row>
    <row r="16" spans="1:9">
      <c r="A16" s="79" t="s">
        <v>854</v>
      </c>
      <c r="B16" s="80">
        <v>45497</v>
      </c>
      <c r="C16" s="98">
        <f t="shared" ca="1" si="2"/>
        <v>1450</v>
      </c>
      <c r="D16" s="26"/>
      <c r="E16" s="26"/>
      <c r="F16" s="2" t="s">
        <v>855</v>
      </c>
      <c r="G16" s="2" t="s">
        <v>856</v>
      </c>
      <c r="H16" s="81">
        <v>0.63194444444444442</v>
      </c>
      <c r="I16" s="98" t="str">
        <f t="shared" si="3"/>
        <v>15시</v>
      </c>
    </row>
    <row r="17" spans="1:9">
      <c r="A17" s="79" t="s">
        <v>857</v>
      </c>
      <c r="B17" s="80">
        <v>45376</v>
      </c>
      <c r="C17" s="98">
        <f t="shared" ca="1" si="2"/>
        <v>1329</v>
      </c>
      <c r="D17" s="26"/>
      <c r="E17" s="26"/>
      <c r="F17" s="2" t="s">
        <v>858</v>
      </c>
      <c r="G17" s="2" t="s">
        <v>859</v>
      </c>
      <c r="H17" s="81">
        <v>0.54861111111111105</v>
      </c>
      <c r="I17" s="98" t="str">
        <f t="shared" si="3"/>
        <v>13시</v>
      </c>
    </row>
    <row r="18" spans="1:9">
      <c r="A18" s="79" t="s">
        <v>860</v>
      </c>
      <c r="B18" s="80">
        <v>45410</v>
      </c>
      <c r="C18" s="98">
        <f t="shared" ca="1" si="2"/>
        <v>1363</v>
      </c>
      <c r="D18" s="26"/>
      <c r="E18" s="26"/>
      <c r="F18" s="26"/>
      <c r="G18" s="26"/>
      <c r="H18" s="26"/>
      <c r="I18" s="26"/>
    </row>
    <row r="19" spans="1:9">
      <c r="A19" s="79" t="s">
        <v>861</v>
      </c>
      <c r="B19" s="80">
        <v>45502</v>
      </c>
      <c r="C19" s="98">
        <f t="shared" ca="1" si="2"/>
        <v>1455</v>
      </c>
      <c r="D19" s="26"/>
      <c r="E19" s="26"/>
      <c r="F19" s="26"/>
      <c r="G19" s="26"/>
      <c r="H19" s="26"/>
      <c r="I19" s="26"/>
    </row>
    <row r="20" spans="1:9">
      <c r="A20" s="79" t="s">
        <v>862</v>
      </c>
      <c r="B20" s="80">
        <v>45473</v>
      </c>
      <c r="C20" s="98">
        <f t="shared" ca="1" si="2"/>
        <v>1426</v>
      </c>
      <c r="D20" s="26"/>
      <c r="E20" s="26"/>
      <c r="F20" s="26"/>
      <c r="G20" s="26"/>
      <c r="H20" s="26"/>
      <c r="I20" s="26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/>
  </sheetViews>
  <sheetFormatPr defaultRowHeight="17"/>
  <cols>
    <col min="2" max="2" width="14.58203125" bestFit="1" customWidth="1"/>
    <col min="5" max="5" width="15" customWidth="1"/>
    <col min="6" max="6" width="1.58203125" customWidth="1"/>
    <col min="7" max="7" width="15" bestFit="1" customWidth="1"/>
    <col min="8" max="8" width="18.83203125" bestFit="1" customWidth="1"/>
    <col min="9" max="9" width="16.83203125" customWidth="1"/>
    <col min="10" max="10" width="19.25" bestFit="1" customWidth="1"/>
  </cols>
  <sheetData>
    <row r="1" spans="1:10">
      <c r="A1" s="26" t="s">
        <v>214</v>
      </c>
      <c r="B1" s="27" t="s">
        <v>863</v>
      </c>
      <c r="C1" s="26"/>
      <c r="D1" s="26"/>
      <c r="E1" s="26"/>
      <c r="F1" s="26"/>
      <c r="G1" s="26" t="s">
        <v>67</v>
      </c>
      <c r="H1" s="27" t="s">
        <v>864</v>
      </c>
      <c r="I1" s="26"/>
      <c r="J1" s="26"/>
    </row>
    <row r="2" spans="1:10">
      <c r="A2" s="2" t="s">
        <v>865</v>
      </c>
      <c r="B2" s="2" t="s">
        <v>866</v>
      </c>
      <c r="C2" s="2" t="s">
        <v>867</v>
      </c>
      <c r="D2" s="2" t="s">
        <v>868</v>
      </c>
      <c r="E2" s="90" t="s">
        <v>869</v>
      </c>
      <c r="F2" s="26"/>
      <c r="G2" s="2" t="s">
        <v>870</v>
      </c>
      <c r="H2" s="2" t="s">
        <v>871</v>
      </c>
      <c r="I2" s="90" t="s">
        <v>872</v>
      </c>
      <c r="J2" s="2" t="s">
        <v>873</v>
      </c>
    </row>
    <row r="3" spans="1:10">
      <c r="A3" s="2">
        <v>1</v>
      </c>
      <c r="B3" s="2">
        <v>45</v>
      </c>
      <c r="C3" s="2" t="s">
        <v>874</v>
      </c>
      <c r="D3" s="2" t="s">
        <v>875</v>
      </c>
      <c r="E3" s="2"/>
      <c r="F3" s="26"/>
      <c r="G3" s="2" t="s">
        <v>876</v>
      </c>
      <c r="H3" s="2" t="s">
        <v>877</v>
      </c>
      <c r="I3" s="2"/>
      <c r="J3" s="2" t="s">
        <v>878</v>
      </c>
    </row>
    <row r="4" spans="1:10">
      <c r="A4" s="2">
        <v>2</v>
      </c>
      <c r="B4" s="2">
        <v>43</v>
      </c>
      <c r="C4" s="2" t="s">
        <v>879</v>
      </c>
      <c r="D4" s="2" t="s">
        <v>880</v>
      </c>
      <c r="E4" s="2"/>
      <c r="F4" s="26"/>
      <c r="G4" s="2" t="s">
        <v>881</v>
      </c>
      <c r="H4" s="2" t="s">
        <v>882</v>
      </c>
      <c r="I4" s="2"/>
      <c r="J4" s="2" t="s">
        <v>883</v>
      </c>
    </row>
    <row r="5" spans="1:10">
      <c r="A5" s="2">
        <v>3</v>
      </c>
      <c r="B5" s="2">
        <v>40</v>
      </c>
      <c r="C5" s="2" t="s">
        <v>884</v>
      </c>
      <c r="D5" s="2" t="s">
        <v>885</v>
      </c>
      <c r="E5" s="2"/>
      <c r="F5" s="26"/>
      <c r="G5" s="2" t="s">
        <v>886</v>
      </c>
      <c r="H5" s="2" t="s">
        <v>887</v>
      </c>
      <c r="I5" s="2"/>
      <c r="J5" s="2" t="s">
        <v>888</v>
      </c>
    </row>
    <row r="6" spans="1:10">
      <c r="A6" s="2">
        <v>4</v>
      </c>
      <c r="B6" s="2">
        <v>39</v>
      </c>
      <c r="C6" s="2" t="s">
        <v>889</v>
      </c>
      <c r="D6" s="2" t="s">
        <v>890</v>
      </c>
      <c r="E6" s="2"/>
      <c r="F6" s="26"/>
      <c r="G6" s="2" t="s">
        <v>891</v>
      </c>
      <c r="H6" s="2" t="s">
        <v>892</v>
      </c>
      <c r="I6" s="2"/>
      <c r="J6" s="2" t="s">
        <v>893</v>
      </c>
    </row>
    <row r="7" spans="1:10">
      <c r="A7" s="2">
        <v>5</v>
      </c>
      <c r="B7" s="2">
        <v>34</v>
      </c>
      <c r="C7" s="2" t="s">
        <v>894</v>
      </c>
      <c r="D7" s="2" t="s">
        <v>895</v>
      </c>
      <c r="E7" s="2"/>
      <c r="F7" s="26"/>
      <c r="G7" s="2" t="s">
        <v>896</v>
      </c>
      <c r="H7" s="2" t="s">
        <v>835</v>
      </c>
      <c r="I7" s="2"/>
      <c r="J7" s="2" t="s">
        <v>897</v>
      </c>
    </row>
    <row r="8" spans="1:10">
      <c r="A8" s="2">
        <v>6</v>
      </c>
      <c r="B8" s="2">
        <v>32</v>
      </c>
      <c r="C8" s="2" t="s">
        <v>898</v>
      </c>
      <c r="D8" s="2" t="s">
        <v>899</v>
      </c>
      <c r="E8" s="2"/>
      <c r="F8" s="26"/>
      <c r="G8" s="2" t="s">
        <v>900</v>
      </c>
      <c r="H8" s="2" t="s">
        <v>901</v>
      </c>
      <c r="I8" s="2"/>
      <c r="J8" s="2" t="s">
        <v>902</v>
      </c>
    </row>
    <row r="9" spans="1:10">
      <c r="A9" s="2">
        <v>7</v>
      </c>
      <c r="B9" s="2">
        <v>30</v>
      </c>
      <c r="C9" s="2" t="s">
        <v>903</v>
      </c>
      <c r="D9" s="2" t="s">
        <v>904</v>
      </c>
      <c r="E9" s="2"/>
      <c r="F9" s="26"/>
      <c r="G9" s="2" t="s">
        <v>905</v>
      </c>
      <c r="H9" s="2" t="s">
        <v>815</v>
      </c>
      <c r="I9" s="2"/>
      <c r="J9" s="2" t="s">
        <v>906</v>
      </c>
    </row>
    <row r="10" spans="1:10">
      <c r="A10" s="2">
        <v>8</v>
      </c>
      <c r="B10" s="2">
        <v>29</v>
      </c>
      <c r="C10" s="2" t="s">
        <v>907</v>
      </c>
      <c r="D10" s="2" t="s">
        <v>908</v>
      </c>
      <c r="E10" s="2"/>
      <c r="F10" s="26"/>
      <c r="G10" s="2" t="s">
        <v>909</v>
      </c>
      <c r="H10" s="2" t="s">
        <v>910</v>
      </c>
      <c r="I10" s="2"/>
      <c r="J10" s="2" t="s">
        <v>911</v>
      </c>
    </row>
    <row r="11" spans="1:10">
      <c r="A11" s="2">
        <v>9</v>
      </c>
      <c r="B11" s="2">
        <v>27</v>
      </c>
      <c r="C11" s="2" t="s">
        <v>912</v>
      </c>
      <c r="D11" s="2" t="s">
        <v>913</v>
      </c>
      <c r="E11" s="2"/>
      <c r="F11" s="26"/>
      <c r="G11" s="2" t="s">
        <v>914</v>
      </c>
      <c r="H11" s="2" t="s">
        <v>915</v>
      </c>
      <c r="I11" s="2"/>
      <c r="J11" s="2" t="s">
        <v>916</v>
      </c>
    </row>
    <row r="12" spans="1:10">
      <c r="A12" s="2">
        <v>10</v>
      </c>
      <c r="B12" s="2">
        <v>26</v>
      </c>
      <c r="C12" s="2" t="s">
        <v>917</v>
      </c>
      <c r="D12" s="2" t="s">
        <v>918</v>
      </c>
      <c r="E12" s="2"/>
      <c r="F12" s="26"/>
      <c r="G12" s="26"/>
      <c r="H12" s="26"/>
      <c r="I12" s="26"/>
      <c r="J12" s="26"/>
    </row>
    <row r="13" spans="1:10">
      <c r="A13" s="26"/>
      <c r="B13" s="26"/>
      <c r="C13" s="26"/>
      <c r="D13" s="26"/>
      <c r="E13" s="26"/>
      <c r="F13" s="26"/>
      <c r="G13" s="26"/>
      <c r="H13" s="26"/>
      <c r="I13" s="26"/>
      <c r="J13" s="26"/>
    </row>
    <row r="14" spans="1:10">
      <c r="A14" s="26" t="s">
        <v>919</v>
      </c>
      <c r="B14" s="27" t="s">
        <v>608</v>
      </c>
      <c r="C14" s="26"/>
      <c r="D14" s="26"/>
      <c r="E14" s="26"/>
      <c r="F14" s="26"/>
      <c r="G14" s="26" t="s">
        <v>920</v>
      </c>
      <c r="H14" s="26"/>
      <c r="I14" s="26"/>
      <c r="J14" s="26"/>
    </row>
    <row r="15" spans="1:10">
      <c r="A15" s="2" t="s">
        <v>921</v>
      </c>
      <c r="B15" s="2" t="s">
        <v>922</v>
      </c>
      <c r="C15" s="2" t="s">
        <v>923</v>
      </c>
      <c r="D15" s="90" t="s">
        <v>779</v>
      </c>
      <c r="E15" s="26"/>
      <c r="F15" s="26"/>
      <c r="G15" s="35" t="s">
        <v>924</v>
      </c>
      <c r="H15" s="35" t="s">
        <v>925</v>
      </c>
      <c r="I15" s="94" t="s">
        <v>926</v>
      </c>
      <c r="J15" s="26"/>
    </row>
    <row r="16" spans="1:10">
      <c r="A16" s="2" t="s">
        <v>927</v>
      </c>
      <c r="B16" s="28">
        <v>35000</v>
      </c>
      <c r="C16" s="29">
        <v>65</v>
      </c>
      <c r="D16" s="2"/>
      <c r="E16" s="26"/>
      <c r="F16" s="26"/>
      <c r="G16" s="35" t="s">
        <v>928</v>
      </c>
      <c r="H16" s="36">
        <v>43161</v>
      </c>
      <c r="I16" s="35"/>
      <c r="J16" s="26"/>
    </row>
    <row r="17" spans="1:10">
      <c r="A17" s="2" t="s">
        <v>929</v>
      </c>
      <c r="B17" s="28">
        <v>42000</v>
      </c>
      <c r="C17" s="29">
        <v>24</v>
      </c>
      <c r="D17" s="2"/>
      <c r="E17" s="26"/>
      <c r="F17" s="26"/>
      <c r="G17" s="35" t="s">
        <v>928</v>
      </c>
      <c r="H17" s="36">
        <v>43893</v>
      </c>
      <c r="I17" s="35"/>
      <c r="J17" s="26"/>
    </row>
    <row r="18" spans="1:10">
      <c r="A18" s="2" t="s">
        <v>930</v>
      </c>
      <c r="B18" s="28">
        <v>31500</v>
      </c>
      <c r="C18" s="29">
        <v>22</v>
      </c>
      <c r="D18" s="2"/>
      <c r="E18" s="26"/>
      <c r="F18" s="26"/>
      <c r="G18" s="35" t="s">
        <v>931</v>
      </c>
      <c r="H18" s="36">
        <v>43161</v>
      </c>
      <c r="I18" s="35"/>
      <c r="J18" s="26"/>
    </row>
    <row r="19" spans="1:10">
      <c r="A19" s="2" t="s">
        <v>932</v>
      </c>
      <c r="B19" s="28">
        <v>28000</v>
      </c>
      <c r="C19" s="29">
        <v>28</v>
      </c>
      <c r="D19" s="2"/>
      <c r="E19" s="26"/>
      <c r="F19" s="26"/>
      <c r="G19" s="35" t="s">
        <v>931</v>
      </c>
      <c r="H19" s="36">
        <v>43892</v>
      </c>
      <c r="I19" s="35"/>
      <c r="J19" s="26"/>
    </row>
    <row r="20" spans="1:10">
      <c r="A20" s="2" t="s">
        <v>933</v>
      </c>
      <c r="B20" s="28">
        <v>30000</v>
      </c>
      <c r="C20" s="29">
        <v>19</v>
      </c>
      <c r="D20" s="2"/>
      <c r="E20" s="26"/>
      <c r="F20" s="26"/>
      <c r="G20" s="35" t="s">
        <v>934</v>
      </c>
      <c r="H20" s="36">
        <v>42796</v>
      </c>
      <c r="I20" s="35"/>
      <c r="J20" s="26"/>
    </row>
    <row r="21" spans="1:10">
      <c r="A21" s="2" t="s">
        <v>935</v>
      </c>
      <c r="B21" s="28">
        <v>40000</v>
      </c>
      <c r="C21" s="29">
        <v>43</v>
      </c>
      <c r="D21" s="2"/>
      <c r="E21" s="26"/>
      <c r="F21" s="26"/>
      <c r="G21" s="35" t="s">
        <v>934</v>
      </c>
      <c r="H21" s="36">
        <v>43526</v>
      </c>
      <c r="I21" s="35"/>
      <c r="J21" s="26"/>
    </row>
    <row r="22" spans="1:10">
      <c r="A22" s="2" t="s">
        <v>936</v>
      </c>
      <c r="B22" s="28">
        <v>29500</v>
      </c>
      <c r="C22" s="29">
        <v>33</v>
      </c>
      <c r="D22" s="2"/>
      <c r="E22" s="26"/>
      <c r="F22" s="26"/>
      <c r="G22" s="35" t="s">
        <v>937</v>
      </c>
      <c r="H22" s="36">
        <v>42431</v>
      </c>
      <c r="I22" s="35"/>
      <c r="J22" s="26"/>
    </row>
    <row r="23" spans="1:10">
      <c r="A23" s="2" t="s">
        <v>938</v>
      </c>
      <c r="B23" s="28">
        <v>37000</v>
      </c>
      <c r="C23" s="29">
        <v>27</v>
      </c>
      <c r="D23" s="2"/>
      <c r="E23" s="26"/>
      <c r="F23" s="26"/>
      <c r="G23" s="35" t="s">
        <v>937</v>
      </c>
      <c r="H23" s="36">
        <v>43526</v>
      </c>
      <c r="I23" s="35"/>
      <c r="J23" s="26"/>
    </row>
    <row r="24" spans="1:10">
      <c r="A24" s="26"/>
      <c r="B24" s="26"/>
      <c r="C24" s="26"/>
      <c r="D24" s="26"/>
      <c r="E24" s="26"/>
      <c r="F24" s="26"/>
      <c r="G24" s="26"/>
      <c r="H24" s="26"/>
      <c r="I24" s="26"/>
      <c r="J24" s="26"/>
    </row>
    <row r="25" spans="1:10">
      <c r="A25" s="26" t="s">
        <v>939</v>
      </c>
      <c r="B25" s="82" t="s">
        <v>940</v>
      </c>
      <c r="C25" s="83"/>
      <c r="D25" s="83"/>
      <c r="E25" s="26"/>
      <c r="F25" s="26"/>
      <c r="G25" s="26" t="s">
        <v>941</v>
      </c>
      <c r="H25" s="7"/>
      <c r="I25" s="7"/>
      <c r="J25" s="7"/>
    </row>
    <row r="26" spans="1:10">
      <c r="A26" s="1" t="s">
        <v>942</v>
      </c>
      <c r="B26" s="1" t="s">
        <v>943</v>
      </c>
      <c r="C26" s="1" t="s">
        <v>944</v>
      </c>
      <c r="D26" s="97" t="s">
        <v>945</v>
      </c>
      <c r="E26" s="26"/>
      <c r="F26" s="26"/>
      <c r="G26" s="53" t="s">
        <v>946</v>
      </c>
      <c r="H26" s="53" t="s">
        <v>947</v>
      </c>
      <c r="I26" s="53" t="s">
        <v>948</v>
      </c>
      <c r="J26" s="96" t="s">
        <v>949</v>
      </c>
    </row>
    <row r="27" spans="1:10">
      <c r="A27" s="1" t="s">
        <v>950</v>
      </c>
      <c r="B27" s="84">
        <v>44511</v>
      </c>
      <c r="C27" s="1" t="s">
        <v>951</v>
      </c>
      <c r="D27" s="1"/>
      <c r="E27" s="26"/>
      <c r="F27" s="26"/>
      <c r="G27" s="85" t="s">
        <v>952</v>
      </c>
      <c r="H27" s="53" t="s">
        <v>953</v>
      </c>
      <c r="I27" s="2">
        <v>2019</v>
      </c>
      <c r="J27" s="53"/>
    </row>
    <row r="28" spans="1:10">
      <c r="A28" s="1" t="s">
        <v>954</v>
      </c>
      <c r="B28" s="84">
        <v>44438</v>
      </c>
      <c r="C28" s="1" t="s">
        <v>955</v>
      </c>
      <c r="D28" s="1"/>
      <c r="E28" s="26"/>
      <c r="F28" s="26"/>
      <c r="G28" s="85" t="s">
        <v>956</v>
      </c>
      <c r="H28" s="53" t="s">
        <v>957</v>
      </c>
      <c r="I28" s="2">
        <v>2020</v>
      </c>
      <c r="J28" s="53"/>
    </row>
    <row r="29" spans="1:10">
      <c r="A29" s="1" t="s">
        <v>958</v>
      </c>
      <c r="B29" s="84">
        <v>44560</v>
      </c>
      <c r="C29" s="1" t="s">
        <v>959</v>
      </c>
      <c r="D29" s="1"/>
      <c r="E29" s="26"/>
      <c r="F29" s="26"/>
      <c r="G29" s="85" t="s">
        <v>960</v>
      </c>
      <c r="H29" s="53" t="s">
        <v>961</v>
      </c>
      <c r="I29" s="2">
        <v>2018</v>
      </c>
      <c r="J29" s="53"/>
    </row>
    <row r="30" spans="1:10">
      <c r="A30" s="1" t="s">
        <v>962</v>
      </c>
      <c r="B30" s="84">
        <v>44484</v>
      </c>
      <c r="C30" s="1" t="s">
        <v>963</v>
      </c>
      <c r="D30" s="1"/>
      <c r="E30" s="26"/>
      <c r="F30" s="26"/>
      <c r="G30" s="85" t="s">
        <v>964</v>
      </c>
      <c r="H30" s="53" t="s">
        <v>965</v>
      </c>
      <c r="I30" s="2">
        <v>2019</v>
      </c>
      <c r="J30" s="53"/>
    </row>
    <row r="31" spans="1:10">
      <c r="A31" s="1" t="s">
        <v>966</v>
      </c>
      <c r="B31" s="84">
        <v>44522</v>
      </c>
      <c r="C31" s="1" t="s">
        <v>967</v>
      </c>
      <c r="D31" s="1"/>
      <c r="E31" s="26"/>
      <c r="F31" s="26"/>
      <c r="G31" s="85" t="s">
        <v>968</v>
      </c>
      <c r="H31" s="53" t="s">
        <v>969</v>
      </c>
      <c r="I31" s="2">
        <v>2020</v>
      </c>
      <c r="J31" s="53"/>
    </row>
    <row r="32" spans="1:10">
      <c r="A32" s="1" t="s">
        <v>970</v>
      </c>
      <c r="B32" s="84">
        <v>44540</v>
      </c>
      <c r="C32" s="1" t="s">
        <v>971</v>
      </c>
      <c r="D32" s="1"/>
      <c r="E32" s="26"/>
      <c r="F32" s="26"/>
      <c r="G32" s="85" t="s">
        <v>972</v>
      </c>
      <c r="H32" s="53" t="s">
        <v>973</v>
      </c>
      <c r="I32" s="2">
        <v>2017</v>
      </c>
      <c r="J32" s="53"/>
    </row>
    <row r="33" spans="1:10">
      <c r="A33" s="1" t="s">
        <v>974</v>
      </c>
      <c r="B33" s="84">
        <v>44442</v>
      </c>
      <c r="C33" s="1" t="s">
        <v>975</v>
      </c>
      <c r="D33" s="1"/>
      <c r="E33" s="26"/>
      <c r="F33" s="26"/>
      <c r="G33" s="85" t="s">
        <v>976</v>
      </c>
      <c r="H33" s="53" t="s">
        <v>977</v>
      </c>
      <c r="I33" s="2">
        <v>2018</v>
      </c>
      <c r="J33" s="53"/>
    </row>
  </sheetData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/>
  </sheetViews>
  <sheetFormatPr defaultRowHeight="17"/>
  <cols>
    <col min="2" max="2" width="14.58203125" bestFit="1" customWidth="1"/>
    <col min="5" max="5" width="15" customWidth="1"/>
    <col min="6" max="6" width="1.58203125" customWidth="1"/>
    <col min="7" max="7" width="15" bestFit="1" customWidth="1"/>
    <col min="8" max="8" width="18.83203125" bestFit="1" customWidth="1"/>
    <col min="9" max="9" width="16.83203125" customWidth="1"/>
    <col min="10" max="10" width="19.25" bestFit="1" customWidth="1"/>
  </cols>
  <sheetData>
    <row r="1" spans="1:10">
      <c r="A1" s="26" t="s">
        <v>65</v>
      </c>
      <c r="B1" s="27" t="s">
        <v>863</v>
      </c>
      <c r="C1" s="26"/>
      <c r="D1" s="26"/>
      <c r="E1" s="26"/>
      <c r="F1" s="26"/>
      <c r="G1" s="26" t="s">
        <v>67</v>
      </c>
      <c r="H1" s="27" t="s">
        <v>864</v>
      </c>
      <c r="I1" s="26"/>
      <c r="J1" s="26"/>
    </row>
    <row r="2" spans="1:10">
      <c r="A2" s="86" t="s">
        <v>865</v>
      </c>
      <c r="B2" s="86" t="s">
        <v>866</v>
      </c>
      <c r="C2" s="86" t="s">
        <v>476</v>
      </c>
      <c r="D2" s="86" t="s">
        <v>868</v>
      </c>
      <c r="E2" s="91" t="s">
        <v>869</v>
      </c>
      <c r="F2" s="26"/>
      <c r="G2" s="86" t="s">
        <v>177</v>
      </c>
      <c r="H2" s="86" t="s">
        <v>175</v>
      </c>
      <c r="I2" s="91" t="s">
        <v>872</v>
      </c>
      <c r="J2" s="86" t="s">
        <v>873</v>
      </c>
    </row>
    <row r="3" spans="1:10">
      <c r="A3" s="86">
        <v>1</v>
      </c>
      <c r="B3" s="86">
        <v>45</v>
      </c>
      <c r="C3" s="86" t="s">
        <v>874</v>
      </c>
      <c r="D3" s="86" t="s">
        <v>875</v>
      </c>
      <c r="E3" s="98" t="str">
        <f>PROPER(D3)&amp;"("&amp;UPPER(C3)&amp;")"</f>
        <v>Kimkh(EAGLES)</v>
      </c>
      <c r="F3" s="26"/>
      <c r="G3" s="86" t="s">
        <v>876</v>
      </c>
      <c r="H3" s="86" t="s">
        <v>706</v>
      </c>
      <c r="I3" s="98" t="str">
        <f>MID(J3,1,SEARCH("@",J3,1)-1)</f>
        <v>love99</v>
      </c>
      <c r="J3" s="86" t="s">
        <v>878</v>
      </c>
    </row>
    <row r="4" spans="1:10">
      <c r="A4" s="86">
        <v>2</v>
      </c>
      <c r="B4" s="86">
        <v>43</v>
      </c>
      <c r="C4" s="86" t="s">
        <v>879</v>
      </c>
      <c r="D4" s="86" t="s">
        <v>880</v>
      </c>
      <c r="E4" s="98" t="str">
        <f t="shared" ref="E4:E12" si="0">PROPER(D4)&amp;"("&amp;UPPER(C4)&amp;")"</f>
        <v>Leesy(HEROES)</v>
      </c>
      <c r="F4" s="26"/>
      <c r="G4" s="86" t="s">
        <v>881</v>
      </c>
      <c r="H4" s="86" t="s">
        <v>882</v>
      </c>
      <c r="I4" s="98" t="str">
        <f t="shared" ref="I4:I11" si="1">MID(J4,1,SEARCH("@",J4,1)-1)</f>
        <v>muakiea</v>
      </c>
      <c r="J4" s="86" t="s">
        <v>883</v>
      </c>
    </row>
    <row r="5" spans="1:10">
      <c r="A5" s="86">
        <v>3</v>
      </c>
      <c r="B5" s="86">
        <v>40</v>
      </c>
      <c r="C5" s="86" t="s">
        <v>884</v>
      </c>
      <c r="D5" s="86" t="s">
        <v>885</v>
      </c>
      <c r="E5" s="98" t="str">
        <f t="shared" si="0"/>
        <v>Parkjm(LIONS)</v>
      </c>
      <c r="F5" s="26"/>
      <c r="G5" s="86" t="s">
        <v>886</v>
      </c>
      <c r="H5" s="86" t="s">
        <v>828</v>
      </c>
      <c r="I5" s="98" t="str">
        <f t="shared" si="1"/>
        <v>starcmk</v>
      </c>
      <c r="J5" s="86" t="s">
        <v>888</v>
      </c>
    </row>
    <row r="6" spans="1:10">
      <c r="A6" s="86">
        <v>4</v>
      </c>
      <c r="B6" s="86">
        <v>39</v>
      </c>
      <c r="C6" s="86" t="s">
        <v>889</v>
      </c>
      <c r="D6" s="86" t="s">
        <v>890</v>
      </c>
      <c r="E6" s="98" t="str">
        <f t="shared" si="0"/>
        <v>Kimjk(BEARS)</v>
      </c>
      <c r="F6" s="26"/>
      <c r="G6" s="86" t="s">
        <v>891</v>
      </c>
      <c r="H6" s="86" t="s">
        <v>708</v>
      </c>
      <c r="I6" s="98" t="str">
        <f t="shared" si="1"/>
        <v>99023</v>
      </c>
      <c r="J6" s="86" t="s">
        <v>893</v>
      </c>
    </row>
    <row r="7" spans="1:10">
      <c r="A7" s="86">
        <v>5</v>
      </c>
      <c r="B7" s="86">
        <v>34</v>
      </c>
      <c r="C7" s="86" t="s">
        <v>894</v>
      </c>
      <c r="D7" s="86" t="s">
        <v>895</v>
      </c>
      <c r="E7" s="98" t="str">
        <f t="shared" si="0"/>
        <v>Yoonbw(KTWIZ)</v>
      </c>
      <c r="F7" s="26"/>
      <c r="G7" s="86" t="s">
        <v>896</v>
      </c>
      <c r="H7" s="86" t="s">
        <v>835</v>
      </c>
      <c r="I7" s="98" t="str">
        <f t="shared" si="1"/>
        <v>yses</v>
      </c>
      <c r="J7" s="86" t="s">
        <v>897</v>
      </c>
    </row>
    <row r="8" spans="1:10">
      <c r="A8" s="86">
        <v>6</v>
      </c>
      <c r="B8" s="86">
        <v>32</v>
      </c>
      <c r="C8" s="86" t="s">
        <v>898</v>
      </c>
      <c r="D8" s="86" t="s">
        <v>899</v>
      </c>
      <c r="E8" s="98" t="str">
        <f t="shared" si="0"/>
        <v>Ohsh(TIGERS)</v>
      </c>
      <c r="F8" s="26"/>
      <c r="G8" s="86" t="s">
        <v>900</v>
      </c>
      <c r="H8" s="86" t="s">
        <v>901</v>
      </c>
      <c r="I8" s="98" t="str">
        <f t="shared" si="1"/>
        <v>newlive</v>
      </c>
      <c r="J8" s="86" t="s">
        <v>902</v>
      </c>
    </row>
    <row r="9" spans="1:10">
      <c r="A9" s="86">
        <v>7</v>
      </c>
      <c r="B9" s="86">
        <v>30</v>
      </c>
      <c r="C9" s="86" t="s">
        <v>903</v>
      </c>
      <c r="D9" s="86" t="s">
        <v>904</v>
      </c>
      <c r="E9" s="98" t="str">
        <f t="shared" si="0"/>
        <v>Songhm(TWINS)</v>
      </c>
      <c r="F9" s="26"/>
      <c r="G9" s="86" t="s">
        <v>905</v>
      </c>
      <c r="H9" s="86" t="s">
        <v>815</v>
      </c>
      <c r="I9" s="98" t="str">
        <f t="shared" si="1"/>
        <v>0908ar</v>
      </c>
      <c r="J9" s="86" t="s">
        <v>906</v>
      </c>
    </row>
    <row r="10" spans="1:10">
      <c r="A10" s="86">
        <v>8</v>
      </c>
      <c r="B10" s="86">
        <v>29</v>
      </c>
      <c r="C10" s="86" t="s">
        <v>907</v>
      </c>
      <c r="D10" s="86" t="s">
        <v>908</v>
      </c>
      <c r="E10" s="98" t="str">
        <f t="shared" si="0"/>
        <v>Jangjb(DINOS)</v>
      </c>
      <c r="F10" s="26"/>
      <c r="G10" s="86" t="s">
        <v>909</v>
      </c>
      <c r="H10" s="86" t="s">
        <v>910</v>
      </c>
      <c r="I10" s="98" t="str">
        <f t="shared" si="1"/>
        <v>tenhour</v>
      </c>
      <c r="J10" s="86" t="s">
        <v>911</v>
      </c>
    </row>
    <row r="11" spans="1:10">
      <c r="A11" s="86">
        <v>9</v>
      </c>
      <c r="B11" s="86">
        <v>27</v>
      </c>
      <c r="C11" s="86" t="s">
        <v>912</v>
      </c>
      <c r="D11" s="86" t="s">
        <v>913</v>
      </c>
      <c r="E11" s="98" t="str">
        <f t="shared" si="0"/>
        <v>Haneh(GIANTS)</v>
      </c>
      <c r="F11" s="26"/>
      <c r="G11" s="86" t="s">
        <v>914</v>
      </c>
      <c r="H11" s="86" t="s">
        <v>832</v>
      </c>
      <c r="I11" s="98" t="str">
        <f t="shared" si="1"/>
        <v>kji1004</v>
      </c>
      <c r="J11" s="86" t="s">
        <v>916</v>
      </c>
    </row>
    <row r="12" spans="1:10">
      <c r="A12" s="86">
        <v>10</v>
      </c>
      <c r="B12" s="86">
        <v>26</v>
      </c>
      <c r="C12" s="86" t="s">
        <v>917</v>
      </c>
      <c r="D12" s="86" t="s">
        <v>918</v>
      </c>
      <c r="E12" s="98" t="str">
        <f t="shared" si="0"/>
        <v>Jinch(WYVERNS)</v>
      </c>
      <c r="F12" s="26"/>
      <c r="G12" s="26"/>
      <c r="H12" s="26"/>
      <c r="I12" s="26"/>
      <c r="J12" s="26"/>
    </row>
    <row r="13" spans="1:10">
      <c r="A13" s="26"/>
      <c r="B13" s="26"/>
      <c r="C13" s="26"/>
      <c r="D13" s="26"/>
      <c r="E13" s="26"/>
      <c r="F13" s="26"/>
      <c r="G13" s="26"/>
      <c r="H13" s="26"/>
      <c r="I13" s="26"/>
      <c r="J13" s="26"/>
    </row>
    <row r="14" spans="1:10">
      <c r="A14" s="26" t="s">
        <v>112</v>
      </c>
      <c r="B14" s="27" t="s">
        <v>608</v>
      </c>
      <c r="C14" s="26"/>
      <c r="D14" s="26"/>
      <c r="E14" s="26"/>
      <c r="F14" s="26"/>
      <c r="G14" s="26" t="s">
        <v>114</v>
      </c>
      <c r="H14" s="26"/>
      <c r="I14" s="26"/>
      <c r="J14" s="26"/>
    </row>
    <row r="15" spans="1:10">
      <c r="A15" s="86" t="s">
        <v>120</v>
      </c>
      <c r="B15" s="86" t="s">
        <v>123</v>
      </c>
      <c r="C15" s="86" t="s">
        <v>76</v>
      </c>
      <c r="D15" s="91" t="s">
        <v>69</v>
      </c>
      <c r="E15" s="26"/>
      <c r="F15" s="26"/>
      <c r="G15" s="35" t="s">
        <v>304</v>
      </c>
      <c r="H15" s="35" t="s">
        <v>925</v>
      </c>
      <c r="I15" s="94" t="s">
        <v>926</v>
      </c>
      <c r="J15" s="26"/>
    </row>
    <row r="16" spans="1:10">
      <c r="A16" s="86" t="s">
        <v>927</v>
      </c>
      <c r="B16" s="28">
        <v>35000</v>
      </c>
      <c r="C16" s="88">
        <v>65</v>
      </c>
      <c r="D16" s="98" t="str">
        <f>IF(RIGHT(A16,1)="M","남성용",IF(RIGHT(A16,1)="W","여성용","아웃도어"))</f>
        <v>남성용</v>
      </c>
      <c r="E16" s="26"/>
      <c r="F16" s="26"/>
      <c r="G16" s="35" t="s">
        <v>928</v>
      </c>
      <c r="H16" s="36">
        <v>43161</v>
      </c>
      <c r="I16" s="108" t="str">
        <f>LOWER(LEFT(G16,3)&amp;YEAR(H16))</f>
        <v>hea2018</v>
      </c>
      <c r="J16" s="26"/>
    </row>
    <row r="17" spans="1:10">
      <c r="A17" s="86" t="s">
        <v>929</v>
      </c>
      <c r="B17" s="28">
        <v>42000</v>
      </c>
      <c r="C17" s="88">
        <v>24</v>
      </c>
      <c r="D17" s="98" t="str">
        <f t="shared" ref="D17:D23" si="2">IF(RIGHT(A17,1)="M","남성용",IF(RIGHT(A17,1)="W","여성용","아웃도어"))</f>
        <v>여성용</v>
      </c>
      <c r="E17" s="26"/>
      <c r="F17" s="26"/>
      <c r="G17" s="35" t="s">
        <v>928</v>
      </c>
      <c r="H17" s="36">
        <v>43893</v>
      </c>
      <c r="I17" s="108" t="str">
        <f t="shared" ref="I17:I23" si="3">LOWER(LEFT(G17,3)&amp;YEAR(H17))</f>
        <v>hea2020</v>
      </c>
      <c r="J17" s="26"/>
    </row>
    <row r="18" spans="1:10">
      <c r="A18" s="86" t="s">
        <v>930</v>
      </c>
      <c r="B18" s="28">
        <v>31500</v>
      </c>
      <c r="C18" s="88">
        <v>22</v>
      </c>
      <c r="D18" s="98" t="str">
        <f t="shared" si="2"/>
        <v>여성용</v>
      </c>
      <c r="E18" s="26"/>
      <c r="F18" s="26"/>
      <c r="G18" s="35" t="s">
        <v>931</v>
      </c>
      <c r="H18" s="36">
        <v>43161</v>
      </c>
      <c r="I18" s="108" t="str">
        <f t="shared" si="3"/>
        <v>com2018</v>
      </c>
      <c r="J18" s="26"/>
    </row>
    <row r="19" spans="1:10">
      <c r="A19" s="86" t="s">
        <v>932</v>
      </c>
      <c r="B19" s="28">
        <v>28000</v>
      </c>
      <c r="C19" s="88">
        <v>28</v>
      </c>
      <c r="D19" s="98" t="str">
        <f t="shared" si="2"/>
        <v>남성용</v>
      </c>
      <c r="E19" s="26"/>
      <c r="F19" s="26"/>
      <c r="G19" s="35" t="s">
        <v>931</v>
      </c>
      <c r="H19" s="36">
        <v>43892</v>
      </c>
      <c r="I19" s="108" t="str">
        <f t="shared" si="3"/>
        <v>com2020</v>
      </c>
      <c r="J19" s="26"/>
    </row>
    <row r="20" spans="1:10">
      <c r="A20" s="86" t="s">
        <v>933</v>
      </c>
      <c r="B20" s="28">
        <v>30000</v>
      </c>
      <c r="C20" s="88">
        <v>19</v>
      </c>
      <c r="D20" s="98" t="str">
        <f t="shared" si="2"/>
        <v>여성용</v>
      </c>
      <c r="E20" s="26"/>
      <c r="F20" s="26"/>
      <c r="G20" s="35" t="s">
        <v>934</v>
      </c>
      <c r="H20" s="36">
        <v>42796</v>
      </c>
      <c r="I20" s="108" t="str">
        <f t="shared" si="3"/>
        <v>des2017</v>
      </c>
      <c r="J20" s="26"/>
    </row>
    <row r="21" spans="1:10">
      <c r="A21" s="86" t="s">
        <v>935</v>
      </c>
      <c r="B21" s="28">
        <v>40000</v>
      </c>
      <c r="C21" s="88">
        <v>43</v>
      </c>
      <c r="D21" s="98" t="str">
        <f t="shared" si="2"/>
        <v>남성용</v>
      </c>
      <c r="E21" s="26"/>
      <c r="F21" s="26"/>
      <c r="G21" s="35" t="s">
        <v>934</v>
      </c>
      <c r="H21" s="36">
        <v>43526</v>
      </c>
      <c r="I21" s="108" t="str">
        <f t="shared" si="3"/>
        <v>des2019</v>
      </c>
      <c r="J21" s="26"/>
    </row>
    <row r="22" spans="1:10">
      <c r="A22" s="86" t="s">
        <v>936</v>
      </c>
      <c r="B22" s="28">
        <v>29500</v>
      </c>
      <c r="C22" s="88">
        <v>33</v>
      </c>
      <c r="D22" s="98" t="str">
        <f t="shared" si="2"/>
        <v>아웃도어</v>
      </c>
      <c r="E22" s="26"/>
      <c r="F22" s="26"/>
      <c r="G22" s="35" t="s">
        <v>937</v>
      </c>
      <c r="H22" s="36">
        <v>42431</v>
      </c>
      <c r="I22" s="108" t="str">
        <f t="shared" si="3"/>
        <v>art2016</v>
      </c>
      <c r="J22" s="26"/>
    </row>
    <row r="23" spans="1:10">
      <c r="A23" s="86" t="s">
        <v>938</v>
      </c>
      <c r="B23" s="28">
        <v>37000</v>
      </c>
      <c r="C23" s="88">
        <v>27</v>
      </c>
      <c r="D23" s="98" t="str">
        <f t="shared" si="2"/>
        <v>아웃도어</v>
      </c>
      <c r="E23" s="26"/>
      <c r="F23" s="26"/>
      <c r="G23" s="35" t="s">
        <v>937</v>
      </c>
      <c r="H23" s="36">
        <v>43526</v>
      </c>
      <c r="I23" s="108" t="str">
        <f t="shared" si="3"/>
        <v>art2019</v>
      </c>
      <c r="J23" s="26"/>
    </row>
    <row r="24" spans="1:10">
      <c r="A24" s="26"/>
      <c r="B24" s="26"/>
      <c r="C24" s="26"/>
      <c r="D24" s="26"/>
      <c r="E24" s="26"/>
      <c r="F24" s="26"/>
      <c r="G24" s="26"/>
      <c r="H24" s="26"/>
      <c r="I24" s="26"/>
      <c r="J24" s="26"/>
    </row>
    <row r="25" spans="1:10">
      <c r="A25" s="26" t="s">
        <v>169</v>
      </c>
      <c r="B25" s="82" t="s">
        <v>940</v>
      </c>
      <c r="C25" s="83"/>
      <c r="D25" s="83"/>
      <c r="E25" s="26"/>
      <c r="F25" s="26"/>
      <c r="G25" s="26" t="s">
        <v>171</v>
      </c>
      <c r="H25" s="7"/>
      <c r="I25" s="7"/>
      <c r="J25" s="7"/>
    </row>
    <row r="26" spans="1:10">
      <c r="A26" s="1" t="s">
        <v>942</v>
      </c>
      <c r="B26" s="1" t="s">
        <v>943</v>
      </c>
      <c r="C26" s="1" t="s">
        <v>944</v>
      </c>
      <c r="D26" s="97" t="s">
        <v>945</v>
      </c>
      <c r="E26" s="26"/>
      <c r="F26" s="26"/>
      <c r="G26" s="89" t="s">
        <v>946</v>
      </c>
      <c r="H26" s="89" t="s">
        <v>947</v>
      </c>
      <c r="I26" s="89" t="s">
        <v>948</v>
      </c>
      <c r="J26" s="96" t="s">
        <v>949</v>
      </c>
    </row>
    <row r="27" spans="1:10">
      <c r="A27" s="1" t="s">
        <v>950</v>
      </c>
      <c r="B27" s="84">
        <v>44511</v>
      </c>
      <c r="C27" s="1" t="s">
        <v>951</v>
      </c>
      <c r="D27" s="110" t="str">
        <f>UPPER(A27) &amp; "-" &amp; MONTH(B27) &amp; "-" &amp; UPPER(C27)</f>
        <v>AG-11-W</v>
      </c>
      <c r="E27" s="26"/>
      <c r="F27" s="26"/>
      <c r="G27" s="85" t="s">
        <v>952</v>
      </c>
      <c r="H27" s="89" t="s">
        <v>953</v>
      </c>
      <c r="I27" s="86">
        <v>2019</v>
      </c>
      <c r="J27" s="104" t="str">
        <f>UPPER(TRIM(G27))&amp;"-KR"</f>
        <v>MNG-002-KR</v>
      </c>
    </row>
    <row r="28" spans="1:10">
      <c r="A28" s="1" t="s">
        <v>954</v>
      </c>
      <c r="B28" s="84">
        <v>44438</v>
      </c>
      <c r="C28" s="1" t="s">
        <v>955</v>
      </c>
      <c r="D28" s="110" t="str">
        <f t="shared" ref="D28:D33" si="4">UPPER(A28) &amp; "-" &amp; MONTH(B28) &amp; "-" &amp; UPPER(C28)</f>
        <v>RF-8-E</v>
      </c>
      <c r="E28" s="26"/>
      <c r="F28" s="26"/>
      <c r="G28" s="85" t="s">
        <v>956</v>
      </c>
      <c r="H28" s="89" t="s">
        <v>957</v>
      </c>
      <c r="I28" s="86">
        <v>2020</v>
      </c>
      <c r="J28" s="104" t="str">
        <f t="shared" ref="J28:J33" si="5">UPPER(TRIM(G28))&amp;"-KR"</f>
        <v>PSY-523-KR</v>
      </c>
    </row>
    <row r="29" spans="1:10">
      <c r="A29" s="1" t="s">
        <v>958</v>
      </c>
      <c r="B29" s="84">
        <v>44560</v>
      </c>
      <c r="C29" s="1" t="s">
        <v>959</v>
      </c>
      <c r="D29" s="110" t="str">
        <f t="shared" si="4"/>
        <v>DK-12-F</v>
      </c>
      <c r="E29" s="26"/>
      <c r="F29" s="26"/>
      <c r="G29" s="85" t="s">
        <v>960</v>
      </c>
      <c r="H29" s="89" t="s">
        <v>961</v>
      </c>
      <c r="I29" s="86">
        <v>2018</v>
      </c>
      <c r="J29" s="104" t="str">
        <f t="shared" si="5"/>
        <v>MNG-091-KR</v>
      </c>
    </row>
    <row r="30" spans="1:10">
      <c r="A30" s="1" t="s">
        <v>962</v>
      </c>
      <c r="B30" s="84">
        <v>44484</v>
      </c>
      <c r="C30" s="1" t="s">
        <v>963</v>
      </c>
      <c r="D30" s="110" t="str">
        <f t="shared" si="4"/>
        <v>IK-10-D</v>
      </c>
      <c r="E30" s="26"/>
      <c r="F30" s="26"/>
      <c r="G30" s="85" t="s">
        <v>964</v>
      </c>
      <c r="H30" s="89" t="s">
        <v>965</v>
      </c>
      <c r="I30" s="86">
        <v>2019</v>
      </c>
      <c r="J30" s="104" t="str">
        <f t="shared" si="5"/>
        <v>PSY-725-KR</v>
      </c>
    </row>
    <row r="31" spans="1:10">
      <c r="A31" s="1" t="s">
        <v>966</v>
      </c>
      <c r="B31" s="84">
        <v>44522</v>
      </c>
      <c r="C31" s="1" t="s">
        <v>955</v>
      </c>
      <c r="D31" s="110" t="str">
        <f t="shared" si="4"/>
        <v>WD-11-E</v>
      </c>
      <c r="E31" s="26"/>
      <c r="F31" s="26"/>
      <c r="G31" s="85" t="s">
        <v>968</v>
      </c>
      <c r="H31" s="89" t="s">
        <v>969</v>
      </c>
      <c r="I31" s="86">
        <v>2020</v>
      </c>
      <c r="J31" s="104" t="str">
        <f t="shared" si="5"/>
        <v>NOV-264-KR</v>
      </c>
    </row>
    <row r="32" spans="1:10">
      <c r="A32" s="1" t="s">
        <v>970</v>
      </c>
      <c r="B32" s="84">
        <v>44540</v>
      </c>
      <c r="C32" s="1" t="s">
        <v>951</v>
      </c>
      <c r="D32" s="110" t="str">
        <f t="shared" si="4"/>
        <v>OD-12-W</v>
      </c>
      <c r="E32" s="26"/>
      <c r="F32" s="26"/>
      <c r="G32" s="85" t="s">
        <v>972</v>
      </c>
      <c r="H32" s="89" t="s">
        <v>973</v>
      </c>
      <c r="I32" s="86">
        <v>2017</v>
      </c>
      <c r="J32" s="104" t="str">
        <f t="shared" si="5"/>
        <v>LAN-183-KR</v>
      </c>
    </row>
    <row r="33" spans="1:10">
      <c r="A33" s="1" t="s">
        <v>974</v>
      </c>
      <c r="B33" s="84">
        <v>44442</v>
      </c>
      <c r="C33" s="1" t="s">
        <v>975</v>
      </c>
      <c r="D33" s="110" t="str">
        <f t="shared" si="4"/>
        <v>UF-9-H</v>
      </c>
      <c r="E33" s="26"/>
      <c r="F33" s="26"/>
      <c r="G33" s="85" t="s">
        <v>976</v>
      </c>
      <c r="H33" s="89" t="s">
        <v>957</v>
      </c>
      <c r="I33" s="86">
        <v>2018</v>
      </c>
      <c r="J33" s="104" t="str">
        <f t="shared" si="5"/>
        <v>LAN-184-KR</v>
      </c>
    </row>
  </sheetData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/>
  </sheetViews>
  <sheetFormatPr defaultRowHeight="17"/>
  <cols>
    <col min="4" max="4" width="11" bestFit="1" customWidth="1"/>
    <col min="6" max="6" width="1.58203125" customWidth="1"/>
    <col min="10" max="10" width="10.83203125" bestFit="1" customWidth="1"/>
  </cols>
  <sheetData>
    <row r="1" spans="1:11">
      <c r="A1" s="26" t="s">
        <v>214</v>
      </c>
      <c r="B1" s="27" t="s">
        <v>978</v>
      </c>
      <c r="C1" s="26"/>
      <c r="D1" s="2" t="s">
        <v>979</v>
      </c>
      <c r="E1" s="2">
        <v>16</v>
      </c>
      <c r="F1" s="26"/>
      <c r="G1" s="26" t="s">
        <v>980</v>
      </c>
      <c r="H1" s="27" t="s">
        <v>981</v>
      </c>
      <c r="I1" s="26"/>
      <c r="J1" s="26"/>
      <c r="K1" s="26"/>
    </row>
    <row r="2" spans="1:11">
      <c r="A2" s="2" t="s">
        <v>982</v>
      </c>
      <c r="B2" s="2" t="s">
        <v>983</v>
      </c>
      <c r="C2" s="2" t="s">
        <v>984</v>
      </c>
      <c r="D2" s="2" t="s">
        <v>985</v>
      </c>
      <c r="E2" s="90" t="s">
        <v>986</v>
      </c>
      <c r="F2" s="26"/>
      <c r="G2" s="2" t="s">
        <v>987</v>
      </c>
      <c r="H2" s="2" t="s">
        <v>988</v>
      </c>
      <c r="I2" s="2" t="s">
        <v>989</v>
      </c>
      <c r="J2" s="2" t="s">
        <v>990</v>
      </c>
      <c r="K2" s="90" t="s">
        <v>991</v>
      </c>
    </row>
    <row r="3" spans="1:11">
      <c r="A3" s="2" t="s">
        <v>992</v>
      </c>
      <c r="B3" s="2" t="s">
        <v>993</v>
      </c>
      <c r="C3" s="2" t="s">
        <v>994</v>
      </c>
      <c r="D3" s="2">
        <v>15</v>
      </c>
      <c r="E3" s="2"/>
      <c r="F3" s="26"/>
      <c r="G3" s="2" t="s">
        <v>995</v>
      </c>
      <c r="H3" s="2">
        <v>79</v>
      </c>
      <c r="I3" s="2">
        <v>76</v>
      </c>
      <c r="J3" s="2">
        <v>58</v>
      </c>
      <c r="K3" s="2"/>
    </row>
    <row r="4" spans="1:11">
      <c r="A4" s="2" t="s">
        <v>996</v>
      </c>
      <c r="B4" s="2" t="s">
        <v>997</v>
      </c>
      <c r="C4" s="2" t="s">
        <v>994</v>
      </c>
      <c r="D4" s="2">
        <v>10</v>
      </c>
      <c r="E4" s="2"/>
      <c r="F4" s="26"/>
      <c r="G4" s="2" t="s">
        <v>998</v>
      </c>
      <c r="H4" s="2">
        <v>88</v>
      </c>
      <c r="I4" s="2">
        <v>95</v>
      </c>
      <c r="J4" s="2">
        <v>89</v>
      </c>
      <c r="K4" s="2"/>
    </row>
    <row r="5" spans="1:11">
      <c r="A5" s="2" t="s">
        <v>999</v>
      </c>
      <c r="B5" s="2" t="s">
        <v>993</v>
      </c>
      <c r="C5" s="2" t="s">
        <v>994</v>
      </c>
      <c r="D5" s="2">
        <v>8</v>
      </c>
      <c r="E5" s="2"/>
      <c r="F5" s="26"/>
      <c r="G5" s="2" t="s">
        <v>1000</v>
      </c>
      <c r="H5" s="2">
        <v>56</v>
      </c>
      <c r="I5" s="2">
        <v>42</v>
      </c>
      <c r="J5" s="2">
        <v>55</v>
      </c>
      <c r="K5" s="2"/>
    </row>
    <row r="6" spans="1:11">
      <c r="A6" s="2" t="s">
        <v>1001</v>
      </c>
      <c r="B6" s="2" t="s">
        <v>997</v>
      </c>
      <c r="C6" s="2" t="s">
        <v>1002</v>
      </c>
      <c r="D6" s="2">
        <v>12</v>
      </c>
      <c r="E6" s="2"/>
      <c r="F6" s="26"/>
      <c r="G6" s="2" t="s">
        <v>1003</v>
      </c>
      <c r="H6" s="2">
        <v>71</v>
      </c>
      <c r="I6" s="2">
        <v>75</v>
      </c>
      <c r="J6" s="2">
        <v>73</v>
      </c>
      <c r="K6" s="2"/>
    </row>
    <row r="7" spans="1:11">
      <c r="A7" s="2" t="s">
        <v>1004</v>
      </c>
      <c r="B7" s="2" t="s">
        <v>993</v>
      </c>
      <c r="C7" s="2" t="s">
        <v>1002</v>
      </c>
      <c r="D7" s="2">
        <v>14</v>
      </c>
      <c r="E7" s="2"/>
      <c r="F7" s="26"/>
      <c r="G7" s="2" t="s">
        <v>1005</v>
      </c>
      <c r="H7" s="2">
        <v>90</v>
      </c>
      <c r="I7" s="2">
        <v>92</v>
      </c>
      <c r="J7" s="2">
        <v>94</v>
      </c>
      <c r="K7" s="2"/>
    </row>
    <row r="8" spans="1:11">
      <c r="A8" s="2" t="s">
        <v>1006</v>
      </c>
      <c r="B8" s="2" t="s">
        <v>993</v>
      </c>
      <c r="C8" s="2" t="s">
        <v>1002</v>
      </c>
      <c r="D8" s="2">
        <v>13</v>
      </c>
      <c r="E8" s="2"/>
      <c r="F8" s="26"/>
      <c r="G8" s="2" t="s">
        <v>1007</v>
      </c>
      <c r="H8" s="2">
        <v>81</v>
      </c>
      <c r="I8" s="2">
        <v>86</v>
      </c>
      <c r="J8" s="2">
        <v>71</v>
      </c>
      <c r="K8" s="2"/>
    </row>
    <row r="9" spans="1:11">
      <c r="A9" s="2" t="s">
        <v>1008</v>
      </c>
      <c r="B9" s="2" t="s">
        <v>997</v>
      </c>
      <c r="C9" s="2" t="s">
        <v>1009</v>
      </c>
      <c r="D9" s="2">
        <v>11</v>
      </c>
      <c r="E9" s="2"/>
      <c r="F9" s="26"/>
      <c r="G9" s="2" t="s">
        <v>1010</v>
      </c>
      <c r="H9" s="2">
        <v>80</v>
      </c>
      <c r="I9" s="2">
        <v>79</v>
      </c>
      <c r="J9" s="2">
        <v>83</v>
      </c>
      <c r="K9" s="2"/>
    </row>
    <row r="10" spans="1:11">
      <c r="A10" s="2" t="s">
        <v>1011</v>
      </c>
      <c r="B10" s="2" t="s">
        <v>186</v>
      </c>
      <c r="C10" s="2" t="s">
        <v>1012</v>
      </c>
      <c r="D10" s="2">
        <v>5</v>
      </c>
      <c r="E10" s="2"/>
      <c r="F10" s="26"/>
      <c r="G10" s="2" t="s">
        <v>1013</v>
      </c>
      <c r="H10" s="2">
        <v>48</v>
      </c>
      <c r="I10" s="2">
        <v>59</v>
      </c>
      <c r="J10" s="2">
        <v>62</v>
      </c>
      <c r="K10" s="2"/>
    </row>
    <row r="11" spans="1:11">
      <c r="A11" s="2" t="s">
        <v>1014</v>
      </c>
      <c r="B11" s="2" t="s">
        <v>196</v>
      </c>
      <c r="C11" s="2" t="s">
        <v>646</v>
      </c>
      <c r="D11" s="2">
        <v>14</v>
      </c>
      <c r="E11" s="2"/>
      <c r="F11" s="26"/>
      <c r="G11" s="2" t="s">
        <v>1015</v>
      </c>
      <c r="H11" s="2">
        <v>76</v>
      </c>
      <c r="I11" s="2">
        <v>54</v>
      </c>
      <c r="J11" s="2">
        <v>62</v>
      </c>
      <c r="K11" s="2"/>
    </row>
    <row r="12" spans="1:11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1">
      <c r="A13" s="26" t="s">
        <v>1016</v>
      </c>
      <c r="B13" s="27" t="s">
        <v>1017</v>
      </c>
      <c r="C13" s="26"/>
      <c r="D13" s="26"/>
      <c r="E13" s="26"/>
      <c r="F13" s="26"/>
      <c r="G13" s="26" t="s">
        <v>248</v>
      </c>
      <c r="H13" s="27" t="s">
        <v>1018</v>
      </c>
      <c r="I13" s="26"/>
      <c r="J13" s="26"/>
      <c r="K13" s="26"/>
    </row>
    <row r="14" spans="1:11">
      <c r="A14" s="2" t="s">
        <v>1019</v>
      </c>
      <c r="B14" s="2" t="s">
        <v>1020</v>
      </c>
      <c r="C14" s="2" t="s">
        <v>1021</v>
      </c>
      <c r="D14" s="2" t="s">
        <v>1022</v>
      </c>
      <c r="E14" s="90" t="s">
        <v>518</v>
      </c>
      <c r="F14" s="26"/>
      <c r="G14" s="2" t="s">
        <v>1023</v>
      </c>
      <c r="H14" s="2" t="s">
        <v>922</v>
      </c>
      <c r="I14" s="2" t="s">
        <v>1024</v>
      </c>
      <c r="J14" s="2" t="s">
        <v>1025</v>
      </c>
      <c r="K14" s="90" t="s">
        <v>1026</v>
      </c>
    </row>
    <row r="15" spans="1:11">
      <c r="A15" s="2" t="s">
        <v>1027</v>
      </c>
      <c r="B15" s="2">
        <v>93</v>
      </c>
      <c r="C15" s="2">
        <v>85</v>
      </c>
      <c r="D15" s="2">
        <v>77</v>
      </c>
      <c r="E15" s="2"/>
      <c r="F15" s="26"/>
      <c r="G15" s="2" t="s">
        <v>1028</v>
      </c>
      <c r="H15" s="29">
        <v>12000</v>
      </c>
      <c r="I15" s="29">
        <v>124</v>
      </c>
      <c r="J15" s="29">
        <f>H15*I15</f>
        <v>1488000</v>
      </c>
      <c r="K15" s="2"/>
    </row>
    <row r="16" spans="1:11">
      <c r="A16" s="2" t="s">
        <v>1029</v>
      </c>
      <c r="B16" s="2">
        <v>72</v>
      </c>
      <c r="C16" s="2">
        <v>99</v>
      </c>
      <c r="D16" s="2">
        <v>86</v>
      </c>
      <c r="E16" s="2"/>
      <c r="F16" s="26"/>
      <c r="G16" s="2" t="s">
        <v>1030</v>
      </c>
      <c r="H16" s="29">
        <v>11500</v>
      </c>
      <c r="I16" s="29">
        <v>193</v>
      </c>
      <c r="J16" s="29">
        <f t="shared" ref="J16:J23" si="0">H16*I16</f>
        <v>2219500</v>
      </c>
      <c r="K16" s="2"/>
    </row>
    <row r="17" spans="1:11">
      <c r="A17" s="2" t="s">
        <v>1031</v>
      </c>
      <c r="B17" s="2">
        <v>93</v>
      </c>
      <c r="C17" s="2">
        <v>75</v>
      </c>
      <c r="D17" s="2">
        <v>91</v>
      </c>
      <c r="E17" s="2"/>
      <c r="F17" s="26"/>
      <c r="G17" s="2" t="s">
        <v>1032</v>
      </c>
      <c r="H17" s="29">
        <v>8500</v>
      </c>
      <c r="I17" s="29">
        <v>199</v>
      </c>
      <c r="J17" s="29">
        <f t="shared" si="0"/>
        <v>1691500</v>
      </c>
      <c r="K17" s="2"/>
    </row>
    <row r="18" spans="1:11">
      <c r="A18" s="2" t="s">
        <v>1033</v>
      </c>
      <c r="B18" s="2">
        <v>82</v>
      </c>
      <c r="C18" s="2">
        <v>89</v>
      </c>
      <c r="D18" s="2">
        <v>47</v>
      </c>
      <c r="E18" s="2"/>
      <c r="F18" s="26"/>
      <c r="G18" s="2" t="s">
        <v>1034</v>
      </c>
      <c r="H18" s="29">
        <v>12500</v>
      </c>
      <c r="I18" s="29">
        <v>145</v>
      </c>
      <c r="J18" s="29">
        <f t="shared" si="0"/>
        <v>1812500</v>
      </c>
      <c r="K18" s="2"/>
    </row>
    <row r="19" spans="1:11">
      <c r="A19" s="2" t="s">
        <v>1035</v>
      </c>
      <c r="B19" s="2">
        <v>57</v>
      </c>
      <c r="C19" s="2">
        <v>94</v>
      </c>
      <c r="D19" s="2">
        <v>85</v>
      </c>
      <c r="E19" s="2"/>
      <c r="F19" s="26"/>
      <c r="G19" s="2" t="s">
        <v>1036</v>
      </c>
      <c r="H19" s="29">
        <v>7500</v>
      </c>
      <c r="I19" s="29">
        <v>195</v>
      </c>
      <c r="J19" s="29">
        <f t="shared" si="0"/>
        <v>1462500</v>
      </c>
      <c r="K19" s="2"/>
    </row>
    <row r="20" spans="1:11">
      <c r="A20" s="2" t="s">
        <v>1037</v>
      </c>
      <c r="B20" s="2">
        <v>69</v>
      </c>
      <c r="C20" s="2">
        <v>88</v>
      </c>
      <c r="D20" s="2">
        <v>77</v>
      </c>
      <c r="E20" s="2"/>
      <c r="F20" s="26"/>
      <c r="G20" s="2" t="s">
        <v>1038</v>
      </c>
      <c r="H20" s="29">
        <v>10000</v>
      </c>
      <c r="I20" s="29">
        <v>188</v>
      </c>
      <c r="J20" s="29">
        <f t="shared" si="0"/>
        <v>1880000</v>
      </c>
      <c r="K20" s="2"/>
    </row>
    <row r="21" spans="1:11">
      <c r="A21" s="2" t="s">
        <v>1039</v>
      </c>
      <c r="B21" s="2">
        <v>79</v>
      </c>
      <c r="C21" s="2">
        <v>86</v>
      </c>
      <c r="D21" s="2">
        <v>96</v>
      </c>
      <c r="E21" s="2"/>
      <c r="F21" s="26"/>
      <c r="G21" s="2" t="s">
        <v>1040</v>
      </c>
      <c r="H21" s="29">
        <v>9500</v>
      </c>
      <c r="I21" s="29">
        <v>167</v>
      </c>
      <c r="J21" s="29">
        <f t="shared" si="0"/>
        <v>1586500</v>
      </c>
      <c r="K21" s="2"/>
    </row>
    <row r="22" spans="1:11">
      <c r="A22" s="2" t="s">
        <v>1041</v>
      </c>
      <c r="B22" s="2">
        <v>86</v>
      </c>
      <c r="C22" s="2">
        <v>96</v>
      </c>
      <c r="D22" s="2">
        <v>68</v>
      </c>
      <c r="E22" s="2"/>
      <c r="F22" s="26"/>
      <c r="G22" s="2" t="s">
        <v>1042</v>
      </c>
      <c r="H22" s="29">
        <v>5500</v>
      </c>
      <c r="I22" s="29">
        <v>155</v>
      </c>
      <c r="J22" s="29">
        <f t="shared" si="0"/>
        <v>852500</v>
      </c>
      <c r="K22" s="2"/>
    </row>
    <row r="23" spans="1:11">
      <c r="A23" s="2" t="s">
        <v>1043</v>
      </c>
      <c r="B23" s="2">
        <v>72</v>
      </c>
      <c r="C23" s="2">
        <v>88</v>
      </c>
      <c r="D23" s="2">
        <v>52</v>
      </c>
      <c r="E23" s="2"/>
      <c r="F23" s="26"/>
      <c r="G23" s="2" t="s">
        <v>1044</v>
      </c>
      <c r="H23" s="29">
        <v>8000</v>
      </c>
      <c r="I23" s="29">
        <v>168</v>
      </c>
      <c r="J23" s="29">
        <f t="shared" si="0"/>
        <v>1344000</v>
      </c>
      <c r="K23" s="2"/>
    </row>
  </sheetData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/>
  </sheetViews>
  <sheetFormatPr defaultRowHeight="17"/>
  <cols>
    <col min="4" max="4" width="11" bestFit="1" customWidth="1"/>
    <col min="6" max="6" width="1.58203125" customWidth="1"/>
    <col min="10" max="10" width="10.83203125" bestFit="1" customWidth="1"/>
  </cols>
  <sheetData>
    <row r="1" spans="1:11">
      <c r="A1" s="26" t="s">
        <v>65</v>
      </c>
      <c r="B1" s="27" t="s">
        <v>978</v>
      </c>
      <c r="C1" s="26"/>
      <c r="D1" s="86" t="s">
        <v>979</v>
      </c>
      <c r="E1" s="86">
        <v>16</v>
      </c>
      <c r="F1" s="26"/>
      <c r="G1" s="26" t="s">
        <v>67</v>
      </c>
      <c r="H1" s="27" t="s">
        <v>981</v>
      </c>
      <c r="I1" s="26"/>
      <c r="J1" s="26"/>
      <c r="K1" s="26"/>
    </row>
    <row r="2" spans="1:11">
      <c r="A2" s="86" t="s">
        <v>177</v>
      </c>
      <c r="B2" s="86" t="s">
        <v>174</v>
      </c>
      <c r="C2" s="86" t="s">
        <v>116</v>
      </c>
      <c r="D2" s="86" t="s">
        <v>985</v>
      </c>
      <c r="E2" s="91" t="s">
        <v>986</v>
      </c>
      <c r="F2" s="26"/>
      <c r="G2" s="86" t="s">
        <v>987</v>
      </c>
      <c r="H2" s="86" t="s">
        <v>344</v>
      </c>
      <c r="I2" s="86" t="s">
        <v>345</v>
      </c>
      <c r="J2" s="86" t="s">
        <v>990</v>
      </c>
      <c r="K2" s="91" t="s">
        <v>518</v>
      </c>
    </row>
    <row r="3" spans="1:11">
      <c r="A3" s="86" t="s">
        <v>992</v>
      </c>
      <c r="B3" s="86" t="s">
        <v>188</v>
      </c>
      <c r="C3" s="86" t="s">
        <v>125</v>
      </c>
      <c r="D3" s="86">
        <v>15</v>
      </c>
      <c r="E3" s="98" t="str">
        <f t="shared" ref="E3:E11" si="0">IF($E$1-D3&gt;=8,"휴가독촉",IF($E$1-D3&gt;=4,"휴가권장",""))</f>
        <v/>
      </c>
      <c r="F3" s="26"/>
      <c r="G3" s="86" t="s">
        <v>995</v>
      </c>
      <c r="H3" s="86">
        <v>79</v>
      </c>
      <c r="I3" s="86">
        <v>76</v>
      </c>
      <c r="J3" s="86">
        <v>58</v>
      </c>
      <c r="K3" s="98" t="str">
        <f>IF(OR(H3&gt;=80,I3&gt;=80,J3&gt;=80),"합격","불합격")</f>
        <v>불합격</v>
      </c>
    </row>
    <row r="4" spans="1:11">
      <c r="A4" s="86" t="s">
        <v>996</v>
      </c>
      <c r="B4" s="86" t="s">
        <v>183</v>
      </c>
      <c r="C4" s="86" t="s">
        <v>125</v>
      </c>
      <c r="D4" s="86">
        <v>10</v>
      </c>
      <c r="E4" s="98" t="str">
        <f t="shared" si="0"/>
        <v>휴가권장</v>
      </c>
      <c r="F4" s="26"/>
      <c r="G4" s="86" t="s">
        <v>998</v>
      </c>
      <c r="H4" s="86">
        <v>88</v>
      </c>
      <c r="I4" s="86">
        <v>95</v>
      </c>
      <c r="J4" s="86">
        <v>89</v>
      </c>
      <c r="K4" s="98" t="str">
        <f t="shared" ref="K4:K11" si="1">IF(OR(H4&gt;=80,I4&gt;=80,J4&gt;=80),"합격","불합격")</f>
        <v>합격</v>
      </c>
    </row>
    <row r="5" spans="1:11">
      <c r="A5" s="86" t="s">
        <v>999</v>
      </c>
      <c r="B5" s="86" t="s">
        <v>188</v>
      </c>
      <c r="C5" s="86" t="s">
        <v>125</v>
      </c>
      <c r="D5" s="86">
        <v>8</v>
      </c>
      <c r="E5" s="98" t="str">
        <f t="shared" si="0"/>
        <v>휴가독촉</v>
      </c>
      <c r="F5" s="26"/>
      <c r="G5" s="86" t="s">
        <v>1000</v>
      </c>
      <c r="H5" s="86">
        <v>56</v>
      </c>
      <c r="I5" s="86">
        <v>42</v>
      </c>
      <c r="J5" s="86">
        <v>55</v>
      </c>
      <c r="K5" s="98" t="str">
        <f t="shared" si="1"/>
        <v>불합격</v>
      </c>
    </row>
    <row r="6" spans="1:11">
      <c r="A6" s="86" t="s">
        <v>1001</v>
      </c>
      <c r="B6" s="86" t="s">
        <v>183</v>
      </c>
      <c r="C6" s="86" t="s">
        <v>368</v>
      </c>
      <c r="D6" s="86">
        <v>12</v>
      </c>
      <c r="E6" s="98" t="str">
        <f t="shared" si="0"/>
        <v>휴가권장</v>
      </c>
      <c r="F6" s="26"/>
      <c r="G6" s="86" t="s">
        <v>1003</v>
      </c>
      <c r="H6" s="86">
        <v>71</v>
      </c>
      <c r="I6" s="86">
        <v>75</v>
      </c>
      <c r="J6" s="86">
        <v>73</v>
      </c>
      <c r="K6" s="98" t="str">
        <f t="shared" si="1"/>
        <v>불합격</v>
      </c>
    </row>
    <row r="7" spans="1:11">
      <c r="A7" s="86" t="s">
        <v>1004</v>
      </c>
      <c r="B7" s="86" t="s">
        <v>188</v>
      </c>
      <c r="C7" s="86" t="s">
        <v>368</v>
      </c>
      <c r="D7" s="86">
        <v>14</v>
      </c>
      <c r="E7" s="98" t="str">
        <f t="shared" si="0"/>
        <v/>
      </c>
      <c r="F7" s="26"/>
      <c r="G7" s="86" t="s">
        <v>1005</v>
      </c>
      <c r="H7" s="86">
        <v>90</v>
      </c>
      <c r="I7" s="86">
        <v>92</v>
      </c>
      <c r="J7" s="86">
        <v>94</v>
      </c>
      <c r="K7" s="98" t="str">
        <f t="shared" si="1"/>
        <v>합격</v>
      </c>
    </row>
    <row r="8" spans="1:11">
      <c r="A8" s="86" t="s">
        <v>1006</v>
      </c>
      <c r="B8" s="86" t="s">
        <v>188</v>
      </c>
      <c r="C8" s="86" t="s">
        <v>368</v>
      </c>
      <c r="D8" s="86">
        <v>13</v>
      </c>
      <c r="E8" s="98" t="str">
        <f t="shared" si="0"/>
        <v/>
      </c>
      <c r="F8" s="26"/>
      <c r="G8" s="86" t="s">
        <v>1007</v>
      </c>
      <c r="H8" s="86">
        <v>81</v>
      </c>
      <c r="I8" s="86">
        <v>86</v>
      </c>
      <c r="J8" s="86">
        <v>71</v>
      </c>
      <c r="K8" s="98" t="str">
        <f t="shared" si="1"/>
        <v>합격</v>
      </c>
    </row>
    <row r="9" spans="1:11">
      <c r="A9" s="86" t="s">
        <v>1008</v>
      </c>
      <c r="B9" s="86" t="s">
        <v>183</v>
      </c>
      <c r="C9" s="86" t="s">
        <v>625</v>
      </c>
      <c r="D9" s="86">
        <v>11</v>
      </c>
      <c r="E9" s="98" t="str">
        <f t="shared" si="0"/>
        <v>휴가권장</v>
      </c>
      <c r="F9" s="26"/>
      <c r="G9" s="86" t="s">
        <v>1010</v>
      </c>
      <c r="H9" s="86">
        <v>80</v>
      </c>
      <c r="I9" s="86">
        <v>79</v>
      </c>
      <c r="J9" s="86">
        <v>83</v>
      </c>
      <c r="K9" s="98" t="str">
        <f t="shared" si="1"/>
        <v>합격</v>
      </c>
    </row>
    <row r="10" spans="1:11">
      <c r="A10" s="86" t="s">
        <v>1011</v>
      </c>
      <c r="B10" s="86" t="s">
        <v>183</v>
      </c>
      <c r="C10" s="86" t="s">
        <v>625</v>
      </c>
      <c r="D10" s="86">
        <v>5</v>
      </c>
      <c r="E10" s="98" t="str">
        <f t="shared" si="0"/>
        <v>휴가독촉</v>
      </c>
      <c r="F10" s="26"/>
      <c r="G10" s="86" t="s">
        <v>1013</v>
      </c>
      <c r="H10" s="86">
        <v>48</v>
      </c>
      <c r="I10" s="86">
        <v>59</v>
      </c>
      <c r="J10" s="86">
        <v>62</v>
      </c>
      <c r="K10" s="98" t="str">
        <f t="shared" si="1"/>
        <v>불합격</v>
      </c>
    </row>
    <row r="11" spans="1:11">
      <c r="A11" s="86" t="s">
        <v>1014</v>
      </c>
      <c r="B11" s="86" t="s">
        <v>188</v>
      </c>
      <c r="C11" s="86" t="s">
        <v>625</v>
      </c>
      <c r="D11" s="86">
        <v>14</v>
      </c>
      <c r="E11" s="98" t="str">
        <f t="shared" si="0"/>
        <v/>
      </c>
      <c r="F11" s="26"/>
      <c r="G11" s="86" t="s">
        <v>1015</v>
      </c>
      <c r="H11" s="86">
        <v>76</v>
      </c>
      <c r="I11" s="86">
        <v>54</v>
      </c>
      <c r="J11" s="86">
        <v>62</v>
      </c>
      <c r="K11" s="98" t="str">
        <f t="shared" si="1"/>
        <v>불합격</v>
      </c>
    </row>
    <row r="12" spans="1:11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1">
      <c r="A13" s="26" t="s">
        <v>112</v>
      </c>
      <c r="B13" s="27" t="s">
        <v>1017</v>
      </c>
      <c r="C13" s="26"/>
      <c r="D13" s="26"/>
      <c r="E13" s="26"/>
      <c r="F13" s="26"/>
      <c r="G13" s="26" t="s">
        <v>114</v>
      </c>
      <c r="H13" s="27" t="s">
        <v>1018</v>
      </c>
      <c r="I13" s="26"/>
      <c r="J13" s="26"/>
      <c r="K13" s="26"/>
    </row>
    <row r="14" spans="1:11">
      <c r="A14" s="86" t="s">
        <v>75</v>
      </c>
      <c r="B14" s="86" t="s">
        <v>1020</v>
      </c>
      <c r="C14" s="86" t="s">
        <v>1021</v>
      </c>
      <c r="D14" s="86" t="s">
        <v>1022</v>
      </c>
      <c r="E14" s="91" t="s">
        <v>518</v>
      </c>
      <c r="F14" s="26"/>
      <c r="G14" s="86" t="s">
        <v>1023</v>
      </c>
      <c r="H14" s="86" t="s">
        <v>123</v>
      </c>
      <c r="I14" s="86" t="s">
        <v>76</v>
      </c>
      <c r="J14" s="86" t="s">
        <v>1025</v>
      </c>
      <c r="K14" s="91" t="s">
        <v>986</v>
      </c>
    </row>
    <row r="15" spans="1:11">
      <c r="A15" s="86" t="s">
        <v>1027</v>
      </c>
      <c r="B15" s="86">
        <v>93</v>
      </c>
      <c r="C15" s="86">
        <v>85</v>
      </c>
      <c r="D15" s="86">
        <v>77</v>
      </c>
      <c r="E15" s="98" t="str">
        <f>IF(AND(OR(B15&gt;=80,C15&gt;=80),D15&gt;=90),"해외근무","국내근무")</f>
        <v>국내근무</v>
      </c>
      <c r="F15" s="26"/>
      <c r="G15" s="86" t="s">
        <v>1028</v>
      </c>
      <c r="H15" s="88">
        <v>12000</v>
      </c>
      <c r="I15" s="88">
        <v>124</v>
      </c>
      <c r="J15" s="88">
        <f>H15*I15</f>
        <v>1488000</v>
      </c>
      <c r="K15" s="98" t="str">
        <f t="shared" ref="K15:K23" si="2">IF(AND(I15&gt;=150,J15&gt;=MEDIAN($J$15:$J$23)),"효자상품","")</f>
        <v/>
      </c>
    </row>
    <row r="16" spans="1:11">
      <c r="A16" s="86" t="s">
        <v>1029</v>
      </c>
      <c r="B16" s="86">
        <v>72</v>
      </c>
      <c r="C16" s="86">
        <v>99</v>
      </c>
      <c r="D16" s="86">
        <v>86</v>
      </c>
      <c r="E16" s="98" t="str">
        <f t="shared" ref="E16:E23" si="3">IF(AND(OR(B16&gt;=80,C16&gt;=80),D16&gt;=90),"해외근무","국내근무")</f>
        <v>국내근무</v>
      </c>
      <c r="F16" s="26"/>
      <c r="G16" s="86" t="s">
        <v>1030</v>
      </c>
      <c r="H16" s="88">
        <v>11500</v>
      </c>
      <c r="I16" s="88">
        <v>193</v>
      </c>
      <c r="J16" s="88">
        <f t="shared" ref="J16:J23" si="4">H16*I16</f>
        <v>2219500</v>
      </c>
      <c r="K16" s="98" t="str">
        <f t="shared" si="2"/>
        <v>효자상품</v>
      </c>
    </row>
    <row r="17" spans="1:11">
      <c r="A17" s="86" t="s">
        <v>1031</v>
      </c>
      <c r="B17" s="86">
        <v>93</v>
      </c>
      <c r="C17" s="86">
        <v>75</v>
      </c>
      <c r="D17" s="86">
        <v>91</v>
      </c>
      <c r="E17" s="98" t="str">
        <f t="shared" si="3"/>
        <v>해외근무</v>
      </c>
      <c r="F17" s="26"/>
      <c r="G17" s="86" t="s">
        <v>1032</v>
      </c>
      <c r="H17" s="88">
        <v>8500</v>
      </c>
      <c r="I17" s="88">
        <v>199</v>
      </c>
      <c r="J17" s="88">
        <f t="shared" si="4"/>
        <v>1691500</v>
      </c>
      <c r="K17" s="98" t="str">
        <f t="shared" si="2"/>
        <v>효자상품</v>
      </c>
    </row>
    <row r="18" spans="1:11">
      <c r="A18" s="86" t="s">
        <v>1033</v>
      </c>
      <c r="B18" s="86">
        <v>82</v>
      </c>
      <c r="C18" s="86">
        <v>89</v>
      </c>
      <c r="D18" s="86">
        <v>47</v>
      </c>
      <c r="E18" s="98" t="str">
        <f t="shared" si="3"/>
        <v>국내근무</v>
      </c>
      <c r="F18" s="26"/>
      <c r="G18" s="86" t="s">
        <v>1034</v>
      </c>
      <c r="H18" s="88">
        <v>12500</v>
      </c>
      <c r="I18" s="88">
        <v>145</v>
      </c>
      <c r="J18" s="88">
        <f t="shared" si="4"/>
        <v>1812500</v>
      </c>
      <c r="K18" s="98" t="str">
        <f t="shared" si="2"/>
        <v/>
      </c>
    </row>
    <row r="19" spans="1:11">
      <c r="A19" s="86" t="s">
        <v>1035</v>
      </c>
      <c r="B19" s="86">
        <v>57</v>
      </c>
      <c r="C19" s="86">
        <v>94</v>
      </c>
      <c r="D19" s="86">
        <v>85</v>
      </c>
      <c r="E19" s="98" t="str">
        <f t="shared" si="3"/>
        <v>국내근무</v>
      </c>
      <c r="F19" s="26"/>
      <c r="G19" s="86" t="s">
        <v>1036</v>
      </c>
      <c r="H19" s="88">
        <v>7500</v>
      </c>
      <c r="I19" s="88">
        <v>195</v>
      </c>
      <c r="J19" s="88">
        <f t="shared" si="4"/>
        <v>1462500</v>
      </c>
      <c r="K19" s="98" t="str">
        <f t="shared" si="2"/>
        <v/>
      </c>
    </row>
    <row r="20" spans="1:11">
      <c r="A20" s="86" t="s">
        <v>1037</v>
      </c>
      <c r="B20" s="86">
        <v>69</v>
      </c>
      <c r="C20" s="86">
        <v>88</v>
      </c>
      <c r="D20" s="86">
        <v>77</v>
      </c>
      <c r="E20" s="98" t="str">
        <f t="shared" si="3"/>
        <v>국내근무</v>
      </c>
      <c r="F20" s="26"/>
      <c r="G20" s="86" t="s">
        <v>1038</v>
      </c>
      <c r="H20" s="88">
        <v>10000</v>
      </c>
      <c r="I20" s="88">
        <v>188</v>
      </c>
      <c r="J20" s="88">
        <f t="shared" si="4"/>
        <v>1880000</v>
      </c>
      <c r="K20" s="98" t="str">
        <f t="shared" si="2"/>
        <v>효자상품</v>
      </c>
    </row>
    <row r="21" spans="1:11">
      <c r="A21" s="86" t="s">
        <v>1039</v>
      </c>
      <c r="B21" s="86">
        <v>79</v>
      </c>
      <c r="C21" s="86">
        <v>86</v>
      </c>
      <c r="D21" s="86">
        <v>96</v>
      </c>
      <c r="E21" s="98" t="str">
        <f t="shared" si="3"/>
        <v>해외근무</v>
      </c>
      <c r="F21" s="26"/>
      <c r="G21" s="86" t="s">
        <v>1040</v>
      </c>
      <c r="H21" s="88">
        <v>9500</v>
      </c>
      <c r="I21" s="88">
        <v>167</v>
      </c>
      <c r="J21" s="88">
        <f t="shared" si="4"/>
        <v>1586500</v>
      </c>
      <c r="K21" s="98" t="str">
        <f t="shared" si="2"/>
        <v>효자상품</v>
      </c>
    </row>
    <row r="22" spans="1:11">
      <c r="A22" s="86" t="s">
        <v>1041</v>
      </c>
      <c r="B22" s="86">
        <v>86</v>
      </c>
      <c r="C22" s="86">
        <v>96</v>
      </c>
      <c r="D22" s="86">
        <v>68</v>
      </c>
      <c r="E22" s="98" t="str">
        <f t="shared" si="3"/>
        <v>국내근무</v>
      </c>
      <c r="F22" s="26"/>
      <c r="G22" s="86" t="s">
        <v>1042</v>
      </c>
      <c r="H22" s="88">
        <v>5500</v>
      </c>
      <c r="I22" s="88">
        <v>155</v>
      </c>
      <c r="J22" s="88">
        <f t="shared" si="4"/>
        <v>852500</v>
      </c>
      <c r="K22" s="98" t="str">
        <f t="shared" si="2"/>
        <v/>
      </c>
    </row>
    <row r="23" spans="1:11">
      <c r="A23" s="86" t="s">
        <v>1043</v>
      </c>
      <c r="B23" s="86">
        <v>72</v>
      </c>
      <c r="C23" s="86">
        <v>88</v>
      </c>
      <c r="D23" s="86">
        <v>52</v>
      </c>
      <c r="E23" s="98" t="str">
        <f t="shared" si="3"/>
        <v>국내근무</v>
      </c>
      <c r="F23" s="26"/>
      <c r="G23" s="86" t="s">
        <v>1044</v>
      </c>
      <c r="H23" s="88">
        <v>8000</v>
      </c>
      <c r="I23" s="88">
        <v>168</v>
      </c>
      <c r="J23" s="88">
        <f t="shared" si="4"/>
        <v>1344000</v>
      </c>
      <c r="K23" s="98" t="str">
        <f t="shared" si="2"/>
        <v/>
      </c>
    </row>
  </sheetData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/>
  </sheetViews>
  <sheetFormatPr defaultRowHeight="17"/>
  <cols>
    <col min="3" max="3" width="11.83203125" bestFit="1" customWidth="1"/>
    <col min="6" max="6" width="1.58203125" customWidth="1"/>
    <col min="8" max="8" width="11" bestFit="1" customWidth="1"/>
    <col min="9" max="9" width="13.75" bestFit="1" customWidth="1"/>
    <col min="10" max="10" width="11" bestFit="1" customWidth="1"/>
  </cols>
  <sheetData>
    <row r="1" spans="1:11">
      <c r="A1" s="26" t="s">
        <v>214</v>
      </c>
      <c r="B1" s="27" t="s">
        <v>1045</v>
      </c>
      <c r="C1" s="26"/>
      <c r="D1" s="26"/>
      <c r="E1" s="26"/>
      <c r="F1" s="26"/>
      <c r="G1" s="26" t="s">
        <v>1046</v>
      </c>
      <c r="H1" s="45"/>
      <c r="I1" s="45"/>
      <c r="J1" s="45"/>
      <c r="K1" s="26"/>
    </row>
    <row r="2" spans="1:11">
      <c r="A2" s="2" t="s">
        <v>1047</v>
      </c>
      <c r="B2" s="2" t="s">
        <v>360</v>
      </c>
      <c r="C2" s="2" t="s">
        <v>1048</v>
      </c>
      <c r="D2" s="2" t="s">
        <v>1049</v>
      </c>
      <c r="E2" s="90" t="s">
        <v>1050</v>
      </c>
      <c r="F2" s="26"/>
      <c r="G2" s="2" t="s">
        <v>1051</v>
      </c>
      <c r="H2" s="2" t="s">
        <v>1052</v>
      </c>
      <c r="I2" s="2" t="s">
        <v>1053</v>
      </c>
      <c r="J2" s="90" t="s">
        <v>1054</v>
      </c>
      <c r="K2" s="26"/>
    </row>
    <row r="3" spans="1:11">
      <c r="A3" s="2">
        <v>1</v>
      </c>
      <c r="B3" s="2" t="s">
        <v>1055</v>
      </c>
      <c r="C3" s="2" t="s">
        <v>188</v>
      </c>
      <c r="D3" s="2">
        <v>78</v>
      </c>
      <c r="E3" s="2"/>
      <c r="F3" s="26"/>
      <c r="G3" s="2" t="s">
        <v>1056</v>
      </c>
      <c r="H3" s="2" t="s">
        <v>1057</v>
      </c>
      <c r="I3" s="2" t="s">
        <v>1058</v>
      </c>
      <c r="J3" s="2"/>
      <c r="K3" s="26"/>
    </row>
    <row r="4" spans="1:11">
      <c r="A4" s="2">
        <v>1</v>
      </c>
      <c r="B4" s="2" t="s">
        <v>1059</v>
      </c>
      <c r="C4" s="2" t="s">
        <v>1060</v>
      </c>
      <c r="D4" s="2">
        <v>86</v>
      </c>
      <c r="E4" s="2"/>
      <c r="F4" s="26"/>
      <c r="G4" s="2" t="s">
        <v>1061</v>
      </c>
      <c r="H4" s="2" t="s">
        <v>1062</v>
      </c>
      <c r="I4" s="2" t="s">
        <v>1063</v>
      </c>
      <c r="J4" s="2"/>
      <c r="K4" s="26"/>
    </row>
    <row r="5" spans="1:11">
      <c r="A5" s="2">
        <v>1</v>
      </c>
      <c r="B5" s="2" t="s">
        <v>1064</v>
      </c>
      <c r="C5" s="2" t="s">
        <v>1060</v>
      </c>
      <c r="D5" s="2">
        <v>90</v>
      </c>
      <c r="E5" s="2"/>
      <c r="F5" s="26"/>
      <c r="G5" s="2" t="s">
        <v>1065</v>
      </c>
      <c r="H5" s="2" t="s">
        <v>1066</v>
      </c>
      <c r="I5" s="2" t="s">
        <v>1067</v>
      </c>
      <c r="J5" s="2"/>
      <c r="K5" s="26"/>
    </row>
    <row r="6" spans="1:11">
      <c r="A6" s="2">
        <v>1</v>
      </c>
      <c r="B6" s="2" t="s">
        <v>1068</v>
      </c>
      <c r="C6" s="2" t="s">
        <v>188</v>
      </c>
      <c r="D6" s="2">
        <v>91</v>
      </c>
      <c r="E6" s="2"/>
      <c r="F6" s="26"/>
      <c r="G6" s="2" t="s">
        <v>1069</v>
      </c>
      <c r="H6" s="2" t="s">
        <v>1070</v>
      </c>
      <c r="I6" s="2" t="s">
        <v>1071</v>
      </c>
      <c r="J6" s="2"/>
      <c r="K6" s="26"/>
    </row>
    <row r="7" spans="1:11">
      <c r="A7" s="2">
        <v>2</v>
      </c>
      <c r="B7" s="2" t="s">
        <v>1072</v>
      </c>
      <c r="C7" s="2" t="s">
        <v>1073</v>
      </c>
      <c r="D7" s="2">
        <v>92</v>
      </c>
      <c r="E7" s="2"/>
      <c r="F7" s="26"/>
      <c r="G7" s="2" t="s">
        <v>1074</v>
      </c>
      <c r="H7" s="2" t="s">
        <v>1075</v>
      </c>
      <c r="I7" s="2" t="s">
        <v>1076</v>
      </c>
      <c r="J7" s="2"/>
      <c r="K7" s="26"/>
    </row>
    <row r="8" spans="1:11">
      <c r="A8" s="2">
        <v>2</v>
      </c>
      <c r="B8" s="2" t="s">
        <v>1077</v>
      </c>
      <c r="C8" s="2" t="s">
        <v>1078</v>
      </c>
      <c r="D8" s="2">
        <v>82</v>
      </c>
      <c r="E8" s="2"/>
      <c r="F8" s="26"/>
      <c r="G8" s="2" t="s">
        <v>1079</v>
      </c>
      <c r="H8" s="2" t="s">
        <v>1080</v>
      </c>
      <c r="I8" s="2" t="s">
        <v>1081</v>
      </c>
      <c r="J8" s="2"/>
      <c r="K8" s="26"/>
    </row>
    <row r="9" spans="1:11">
      <c r="A9" s="2">
        <v>2</v>
      </c>
      <c r="B9" s="2" t="s">
        <v>1082</v>
      </c>
      <c r="C9" s="2" t="s">
        <v>186</v>
      </c>
      <c r="D9" s="2">
        <v>94</v>
      </c>
      <c r="E9" s="2"/>
      <c r="F9" s="26"/>
      <c r="G9" s="2" t="s">
        <v>1083</v>
      </c>
      <c r="H9" s="2" t="s">
        <v>1084</v>
      </c>
      <c r="I9" s="2" t="s">
        <v>1085</v>
      </c>
      <c r="J9" s="2"/>
      <c r="K9" s="26"/>
    </row>
    <row r="10" spans="1:11">
      <c r="A10" s="2">
        <v>3</v>
      </c>
      <c r="B10" s="2" t="s">
        <v>1086</v>
      </c>
      <c r="C10" s="2" t="s">
        <v>1078</v>
      </c>
      <c r="D10" s="2">
        <v>89</v>
      </c>
      <c r="E10" s="2"/>
      <c r="F10" s="26"/>
      <c r="G10" s="2" t="s">
        <v>1087</v>
      </c>
      <c r="H10" s="2" t="s">
        <v>1088</v>
      </c>
      <c r="I10" s="2" t="s">
        <v>1089</v>
      </c>
      <c r="J10" s="2"/>
      <c r="K10" s="26"/>
    </row>
    <row r="11" spans="1:11">
      <c r="A11" s="2">
        <v>3</v>
      </c>
      <c r="B11" s="2" t="s">
        <v>1090</v>
      </c>
      <c r="C11" s="2" t="s">
        <v>1091</v>
      </c>
      <c r="D11" s="2">
        <v>93</v>
      </c>
      <c r="E11" s="2"/>
      <c r="F11" s="26"/>
      <c r="G11" s="45"/>
      <c r="H11" s="45"/>
      <c r="I11" s="45"/>
      <c r="J11" s="45"/>
      <c r="K11" s="26"/>
    </row>
    <row r="12" spans="1:11">
      <c r="A12" s="2">
        <v>3</v>
      </c>
      <c r="B12" s="2" t="s">
        <v>1092</v>
      </c>
      <c r="C12" s="2" t="s">
        <v>186</v>
      </c>
      <c r="D12" s="2">
        <v>87</v>
      </c>
      <c r="E12" s="2"/>
      <c r="F12" s="26"/>
      <c r="G12" s="2" t="s">
        <v>1093</v>
      </c>
      <c r="H12" s="2" t="s">
        <v>1094</v>
      </c>
      <c r="I12" s="2" t="s">
        <v>1095</v>
      </c>
      <c r="J12" s="2" t="s">
        <v>1096</v>
      </c>
      <c r="K12" s="26"/>
    </row>
    <row r="13" spans="1:11">
      <c r="A13" s="26"/>
      <c r="B13" s="26"/>
      <c r="C13" s="26"/>
      <c r="D13" s="26"/>
      <c r="E13" s="26"/>
      <c r="F13" s="26"/>
      <c r="G13" s="2" t="s">
        <v>1097</v>
      </c>
      <c r="H13" s="2" t="s">
        <v>1098</v>
      </c>
      <c r="I13" s="2" t="s">
        <v>1099</v>
      </c>
      <c r="J13" s="2" t="s">
        <v>1100</v>
      </c>
      <c r="K13" s="26"/>
    </row>
    <row r="14" spans="1:11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1">
      <c r="A15" s="26" t="s">
        <v>112</v>
      </c>
      <c r="B15" s="27" t="s">
        <v>1101</v>
      </c>
      <c r="C15" s="26"/>
      <c r="D15" s="26"/>
      <c r="E15" s="26"/>
      <c r="F15" s="26"/>
      <c r="G15" s="26" t="s">
        <v>1102</v>
      </c>
      <c r="H15" s="45"/>
      <c r="I15" s="45"/>
      <c r="J15" s="45"/>
      <c r="K15" s="45"/>
    </row>
    <row r="16" spans="1:11">
      <c r="A16" s="2" t="s">
        <v>1103</v>
      </c>
      <c r="B16" s="2" t="s">
        <v>76</v>
      </c>
      <c r="C16" s="2" t="s">
        <v>1104</v>
      </c>
      <c r="D16" s="90" t="s">
        <v>518</v>
      </c>
      <c r="E16" s="26"/>
      <c r="F16" s="26"/>
      <c r="G16" s="2" t="s">
        <v>1105</v>
      </c>
      <c r="H16" s="53" t="s">
        <v>1106</v>
      </c>
      <c r="I16" s="53" t="s">
        <v>1107</v>
      </c>
      <c r="J16" s="2" t="s">
        <v>1108</v>
      </c>
      <c r="K16" s="90" t="s">
        <v>1109</v>
      </c>
    </row>
    <row r="17" spans="1:11">
      <c r="A17" s="2" t="s">
        <v>1110</v>
      </c>
      <c r="B17" s="29">
        <v>642</v>
      </c>
      <c r="C17" s="29">
        <v>8025000</v>
      </c>
      <c r="D17" s="2"/>
      <c r="E17" s="26"/>
      <c r="F17" s="26"/>
      <c r="G17" s="2" t="s">
        <v>1111</v>
      </c>
      <c r="H17" s="53">
        <v>82</v>
      </c>
      <c r="I17" s="53">
        <v>94</v>
      </c>
      <c r="J17" s="2">
        <f t="shared" ref="J17:J24" si="0">SUM(H17:I17)</f>
        <v>176</v>
      </c>
      <c r="K17" s="2"/>
    </row>
    <row r="18" spans="1:11">
      <c r="A18" s="2" t="s">
        <v>1112</v>
      </c>
      <c r="B18" s="29">
        <v>241</v>
      </c>
      <c r="C18" s="29">
        <v>3012500</v>
      </c>
      <c r="D18" s="2"/>
      <c r="E18" s="26"/>
      <c r="F18" s="26"/>
      <c r="G18" s="2" t="s">
        <v>1113</v>
      </c>
      <c r="H18" s="53">
        <v>63</v>
      </c>
      <c r="I18" s="53">
        <v>83</v>
      </c>
      <c r="J18" s="2">
        <f t="shared" si="0"/>
        <v>146</v>
      </c>
      <c r="K18" s="2"/>
    </row>
    <row r="19" spans="1:11">
      <c r="A19" s="2" t="s">
        <v>1114</v>
      </c>
      <c r="B19" s="29">
        <v>289</v>
      </c>
      <c r="C19" s="29">
        <v>3612500</v>
      </c>
      <c r="D19" s="2"/>
      <c r="E19" s="26"/>
      <c r="F19" s="26"/>
      <c r="G19" s="2" t="s">
        <v>1115</v>
      </c>
      <c r="H19" s="53">
        <v>76</v>
      </c>
      <c r="I19" s="53">
        <v>86</v>
      </c>
      <c r="J19" s="2">
        <f t="shared" si="0"/>
        <v>162</v>
      </c>
      <c r="K19" s="2"/>
    </row>
    <row r="20" spans="1:11">
      <c r="A20" s="2" t="s">
        <v>1116</v>
      </c>
      <c r="B20" s="29">
        <v>685</v>
      </c>
      <c r="C20" s="29">
        <v>8562500</v>
      </c>
      <c r="D20" s="2"/>
      <c r="E20" s="26"/>
      <c r="F20" s="26"/>
      <c r="G20" s="2" t="s">
        <v>1117</v>
      </c>
      <c r="H20" s="53">
        <v>62</v>
      </c>
      <c r="I20" s="53">
        <v>88</v>
      </c>
      <c r="J20" s="2">
        <f t="shared" si="0"/>
        <v>150</v>
      </c>
      <c r="K20" s="2"/>
    </row>
    <row r="21" spans="1:11">
      <c r="A21" s="2" t="s">
        <v>1118</v>
      </c>
      <c r="B21" s="29">
        <v>917</v>
      </c>
      <c r="C21" s="29">
        <v>11462500</v>
      </c>
      <c r="D21" s="2"/>
      <c r="E21" s="26"/>
      <c r="F21" s="26"/>
      <c r="G21" s="2" t="s">
        <v>1119</v>
      </c>
      <c r="H21" s="53">
        <v>92</v>
      </c>
      <c r="I21" s="53">
        <v>96</v>
      </c>
      <c r="J21" s="2">
        <f t="shared" si="0"/>
        <v>188</v>
      </c>
      <c r="K21" s="2"/>
    </row>
    <row r="22" spans="1:11">
      <c r="A22" s="2" t="s">
        <v>1120</v>
      </c>
      <c r="B22" s="29">
        <v>862</v>
      </c>
      <c r="C22" s="29">
        <v>10775000</v>
      </c>
      <c r="D22" s="2"/>
      <c r="E22" s="26"/>
      <c r="F22" s="26"/>
      <c r="G22" s="2" t="s">
        <v>1121</v>
      </c>
      <c r="H22" s="53">
        <v>85</v>
      </c>
      <c r="I22" s="53">
        <v>80</v>
      </c>
      <c r="J22" s="2">
        <f t="shared" si="0"/>
        <v>165</v>
      </c>
      <c r="K22" s="2"/>
    </row>
    <row r="23" spans="1:11">
      <c r="A23" s="2" t="s">
        <v>1122</v>
      </c>
      <c r="B23" s="29">
        <v>571</v>
      </c>
      <c r="C23" s="29">
        <v>7137500</v>
      </c>
      <c r="D23" s="2"/>
      <c r="E23" s="26"/>
      <c r="F23" s="26"/>
      <c r="G23" s="2" t="s">
        <v>1123</v>
      </c>
      <c r="H23" s="53">
        <v>62</v>
      </c>
      <c r="I23" s="53">
        <v>77</v>
      </c>
      <c r="J23" s="2">
        <f t="shared" si="0"/>
        <v>139</v>
      </c>
      <c r="K23" s="2"/>
    </row>
    <row r="24" spans="1:11">
      <c r="A24" s="2" t="s">
        <v>1124</v>
      </c>
      <c r="B24" s="29">
        <v>295</v>
      </c>
      <c r="C24" s="29">
        <v>3687500</v>
      </c>
      <c r="D24" s="2"/>
      <c r="E24" s="26"/>
      <c r="F24" s="26"/>
      <c r="G24" s="2" t="s">
        <v>1125</v>
      </c>
      <c r="H24" s="53">
        <v>73</v>
      </c>
      <c r="I24" s="53">
        <v>68</v>
      </c>
      <c r="J24" s="2">
        <f t="shared" si="0"/>
        <v>141</v>
      </c>
      <c r="K24" s="2"/>
    </row>
    <row r="25" spans="1:11">
      <c r="A25" s="2" t="s">
        <v>1126</v>
      </c>
      <c r="B25" s="29">
        <v>384</v>
      </c>
      <c r="C25" s="29">
        <v>4800000</v>
      </c>
      <c r="D25" s="2"/>
      <c r="E25" s="26"/>
      <c r="F25" s="26"/>
      <c r="G25" s="26"/>
      <c r="H25" s="26"/>
      <c r="I25" s="26"/>
      <c r="J25" s="26"/>
      <c r="K25" s="26"/>
    </row>
    <row r="26" spans="1:11">
      <c r="A26" s="2" t="s">
        <v>1127</v>
      </c>
      <c r="B26" s="29">
        <v>166</v>
      </c>
      <c r="C26" s="29">
        <v>2075000</v>
      </c>
      <c r="D26" s="2"/>
      <c r="E26" s="26"/>
      <c r="F26" s="26"/>
      <c r="G26" s="26"/>
      <c r="H26" s="26"/>
      <c r="I26" s="26"/>
      <c r="J26" s="26"/>
      <c r="K26" s="26"/>
    </row>
  </sheetData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/>
  </sheetViews>
  <sheetFormatPr defaultRowHeight="17"/>
  <cols>
    <col min="3" max="3" width="11.83203125" bestFit="1" customWidth="1"/>
    <col min="6" max="6" width="1.58203125" customWidth="1"/>
    <col min="8" max="8" width="11" bestFit="1" customWidth="1"/>
    <col min="9" max="9" width="13.75" bestFit="1" customWidth="1"/>
    <col min="10" max="10" width="11" bestFit="1" customWidth="1"/>
  </cols>
  <sheetData>
    <row r="1" spans="1:11">
      <c r="A1" s="26" t="s">
        <v>65</v>
      </c>
      <c r="B1" s="27" t="s">
        <v>1045</v>
      </c>
      <c r="C1" s="26"/>
      <c r="D1" s="26"/>
      <c r="E1" s="26"/>
      <c r="F1" s="26"/>
      <c r="G1" s="26" t="s">
        <v>67</v>
      </c>
      <c r="H1" s="45"/>
      <c r="I1" s="45"/>
      <c r="J1" s="45"/>
      <c r="K1" s="26"/>
    </row>
    <row r="2" spans="1:11">
      <c r="A2" s="86" t="s">
        <v>773</v>
      </c>
      <c r="B2" s="86" t="s">
        <v>177</v>
      </c>
      <c r="C2" s="86" t="s">
        <v>174</v>
      </c>
      <c r="D2" s="86" t="s">
        <v>447</v>
      </c>
      <c r="E2" s="91" t="s">
        <v>518</v>
      </c>
      <c r="F2" s="26"/>
      <c r="G2" s="86" t="s">
        <v>1051</v>
      </c>
      <c r="H2" s="86" t="s">
        <v>1052</v>
      </c>
      <c r="I2" s="86" t="s">
        <v>1053</v>
      </c>
      <c r="J2" s="91" t="s">
        <v>1054</v>
      </c>
      <c r="K2" s="26"/>
    </row>
    <row r="3" spans="1:11">
      <c r="A3" s="86">
        <v>1</v>
      </c>
      <c r="B3" s="86" t="s">
        <v>1055</v>
      </c>
      <c r="C3" s="86" t="s">
        <v>188</v>
      </c>
      <c r="D3" s="86">
        <v>78</v>
      </c>
      <c r="E3" s="98" t="str">
        <f>IFERROR(CHOOSE(_xlfn.RANK.EQ(D3,$D$3:$D$12),"대상","금상","은상","동상"),"")</f>
        <v/>
      </c>
      <c r="F3" s="26"/>
      <c r="G3" s="86" t="s">
        <v>1056</v>
      </c>
      <c r="H3" s="86" t="s">
        <v>1057</v>
      </c>
      <c r="I3" s="86" t="s">
        <v>1058</v>
      </c>
      <c r="J3" s="98" t="str">
        <f>IFERROR(HLOOKUP(LEFT(G3,1),$H$12:$J$13,2,FALSE),"코드오류")</f>
        <v>멀티미디어</v>
      </c>
      <c r="K3" s="26"/>
    </row>
    <row r="4" spans="1:11">
      <c r="A4" s="86">
        <v>1</v>
      </c>
      <c r="B4" s="86" t="s">
        <v>1059</v>
      </c>
      <c r="C4" s="86" t="s">
        <v>183</v>
      </c>
      <c r="D4" s="86">
        <v>86</v>
      </c>
      <c r="E4" s="98" t="str">
        <f t="shared" ref="E4:E12" si="0">IFERROR(CHOOSE(_xlfn.RANK.EQ(D4,$D$3:$D$12),"대상","금상","은상","동상"),"")</f>
        <v/>
      </c>
      <c r="F4" s="26"/>
      <c r="G4" s="86" t="s">
        <v>1061</v>
      </c>
      <c r="H4" s="86" t="s">
        <v>1062</v>
      </c>
      <c r="I4" s="86" t="s">
        <v>1063</v>
      </c>
      <c r="J4" s="98" t="str">
        <f t="shared" ref="J4:J10" si="1">IFERROR(HLOOKUP(LEFT(G4,1),$H$12:$J$13,2,FALSE),"코드오류")</f>
        <v>네트워크</v>
      </c>
      <c r="K4" s="26"/>
    </row>
    <row r="5" spans="1:11">
      <c r="A5" s="86">
        <v>1</v>
      </c>
      <c r="B5" s="86" t="s">
        <v>1064</v>
      </c>
      <c r="C5" s="86" t="s">
        <v>183</v>
      </c>
      <c r="D5" s="86">
        <v>90</v>
      </c>
      <c r="E5" s="98" t="str">
        <f t="shared" si="0"/>
        <v/>
      </c>
      <c r="F5" s="26"/>
      <c r="G5" s="86" t="s">
        <v>1065</v>
      </c>
      <c r="H5" s="86" t="s">
        <v>1066</v>
      </c>
      <c r="I5" s="86" t="s">
        <v>1067</v>
      </c>
      <c r="J5" s="98" t="str">
        <f t="shared" si="1"/>
        <v>소프트웨어</v>
      </c>
      <c r="K5" s="26"/>
    </row>
    <row r="6" spans="1:11">
      <c r="A6" s="86">
        <v>1</v>
      </c>
      <c r="B6" s="86" t="s">
        <v>1068</v>
      </c>
      <c r="C6" s="86" t="s">
        <v>188</v>
      </c>
      <c r="D6" s="86">
        <v>91</v>
      </c>
      <c r="E6" s="98" t="str">
        <f t="shared" si="0"/>
        <v>동상</v>
      </c>
      <c r="F6" s="26"/>
      <c r="G6" s="86" t="s">
        <v>1069</v>
      </c>
      <c r="H6" s="86" t="s">
        <v>1070</v>
      </c>
      <c r="I6" s="86" t="s">
        <v>1071</v>
      </c>
      <c r="J6" s="98" t="str">
        <f t="shared" si="1"/>
        <v>멀티미디어</v>
      </c>
      <c r="K6" s="26"/>
    </row>
    <row r="7" spans="1:11">
      <c r="A7" s="86">
        <v>2</v>
      </c>
      <c r="B7" s="86" t="s">
        <v>1072</v>
      </c>
      <c r="C7" s="86" t="s">
        <v>188</v>
      </c>
      <c r="D7" s="86">
        <v>92</v>
      </c>
      <c r="E7" s="98" t="str">
        <f t="shared" si="0"/>
        <v>은상</v>
      </c>
      <c r="F7" s="26"/>
      <c r="G7" s="86" t="s">
        <v>1074</v>
      </c>
      <c r="H7" s="86" t="s">
        <v>1075</v>
      </c>
      <c r="I7" s="86" t="s">
        <v>1076</v>
      </c>
      <c r="J7" s="98" t="str">
        <f t="shared" si="1"/>
        <v>소프트웨어</v>
      </c>
      <c r="K7" s="26"/>
    </row>
    <row r="8" spans="1:11">
      <c r="A8" s="86">
        <v>2</v>
      </c>
      <c r="B8" s="86" t="s">
        <v>1077</v>
      </c>
      <c r="C8" s="86" t="s">
        <v>188</v>
      </c>
      <c r="D8" s="86">
        <v>82</v>
      </c>
      <c r="E8" s="98" t="str">
        <f t="shared" si="0"/>
        <v/>
      </c>
      <c r="F8" s="26"/>
      <c r="G8" s="86" t="s">
        <v>1079</v>
      </c>
      <c r="H8" s="86" t="s">
        <v>1080</v>
      </c>
      <c r="I8" s="86" t="s">
        <v>1081</v>
      </c>
      <c r="J8" s="98" t="str">
        <f t="shared" si="1"/>
        <v>네트워크</v>
      </c>
      <c r="K8" s="26"/>
    </row>
    <row r="9" spans="1:11">
      <c r="A9" s="86">
        <v>2</v>
      </c>
      <c r="B9" s="86" t="s">
        <v>1082</v>
      </c>
      <c r="C9" s="86" t="s">
        <v>183</v>
      </c>
      <c r="D9" s="86">
        <v>94</v>
      </c>
      <c r="E9" s="98" t="str">
        <f t="shared" si="0"/>
        <v>대상</v>
      </c>
      <c r="F9" s="26"/>
      <c r="G9" s="86" t="s">
        <v>1083</v>
      </c>
      <c r="H9" s="86" t="s">
        <v>1084</v>
      </c>
      <c r="I9" s="86" t="s">
        <v>1085</v>
      </c>
      <c r="J9" s="98" t="str">
        <f t="shared" si="1"/>
        <v>멀티미디어</v>
      </c>
      <c r="K9" s="26"/>
    </row>
    <row r="10" spans="1:11">
      <c r="A10" s="86">
        <v>3</v>
      </c>
      <c r="B10" s="86" t="s">
        <v>1086</v>
      </c>
      <c r="C10" s="86" t="s">
        <v>188</v>
      </c>
      <c r="D10" s="86">
        <v>89</v>
      </c>
      <c r="E10" s="98" t="str">
        <f t="shared" si="0"/>
        <v/>
      </c>
      <c r="F10" s="26"/>
      <c r="G10" s="86" t="s">
        <v>1087</v>
      </c>
      <c r="H10" s="86" t="s">
        <v>1088</v>
      </c>
      <c r="I10" s="86" t="s">
        <v>1089</v>
      </c>
      <c r="J10" s="98" t="str">
        <f t="shared" si="1"/>
        <v>코드오류</v>
      </c>
      <c r="K10" s="26"/>
    </row>
    <row r="11" spans="1:11">
      <c r="A11" s="86">
        <v>3</v>
      </c>
      <c r="B11" s="86" t="s">
        <v>1090</v>
      </c>
      <c r="C11" s="86" t="s">
        <v>183</v>
      </c>
      <c r="D11" s="86">
        <v>93</v>
      </c>
      <c r="E11" s="98" t="str">
        <f t="shared" si="0"/>
        <v>금상</v>
      </c>
      <c r="F11" s="26"/>
      <c r="G11" s="45"/>
      <c r="H11" s="45"/>
      <c r="I11" s="45"/>
      <c r="J11" s="45"/>
      <c r="K11" s="26"/>
    </row>
    <row r="12" spans="1:11">
      <c r="A12" s="86">
        <v>3</v>
      </c>
      <c r="B12" s="86" t="s">
        <v>1092</v>
      </c>
      <c r="C12" s="86" t="s">
        <v>183</v>
      </c>
      <c r="D12" s="86">
        <v>87</v>
      </c>
      <c r="E12" s="98" t="str">
        <f t="shared" si="0"/>
        <v/>
      </c>
      <c r="F12" s="26"/>
      <c r="G12" s="86" t="s">
        <v>1093</v>
      </c>
      <c r="H12" s="86" t="s">
        <v>1094</v>
      </c>
      <c r="I12" s="86" t="s">
        <v>1095</v>
      </c>
      <c r="J12" s="86" t="s">
        <v>1096</v>
      </c>
      <c r="K12" s="26"/>
    </row>
    <row r="13" spans="1:11">
      <c r="A13" s="26"/>
      <c r="B13" s="26"/>
      <c r="C13" s="26"/>
      <c r="D13" s="26"/>
      <c r="E13" s="26"/>
      <c r="F13" s="26"/>
      <c r="G13" s="86" t="s">
        <v>1097</v>
      </c>
      <c r="H13" s="86" t="s">
        <v>1098</v>
      </c>
      <c r="I13" s="86" t="s">
        <v>1099</v>
      </c>
      <c r="J13" s="86" t="s">
        <v>1100</v>
      </c>
      <c r="K13" s="26"/>
    </row>
    <row r="14" spans="1:11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1">
      <c r="A15" s="26" t="s">
        <v>112</v>
      </c>
      <c r="B15" s="27" t="s">
        <v>1101</v>
      </c>
      <c r="C15" s="26"/>
      <c r="D15" s="26"/>
      <c r="E15" s="26"/>
      <c r="F15" s="26"/>
      <c r="G15" s="26" t="s">
        <v>114</v>
      </c>
      <c r="H15" s="45"/>
      <c r="I15" s="45"/>
      <c r="J15" s="45"/>
      <c r="K15" s="45"/>
    </row>
    <row r="16" spans="1:11">
      <c r="A16" s="86" t="s">
        <v>120</v>
      </c>
      <c r="B16" s="86" t="s">
        <v>76</v>
      </c>
      <c r="C16" s="86" t="s">
        <v>77</v>
      </c>
      <c r="D16" s="91" t="s">
        <v>518</v>
      </c>
      <c r="E16" s="26"/>
      <c r="F16" s="26"/>
      <c r="G16" s="86" t="s">
        <v>400</v>
      </c>
      <c r="H16" s="89" t="s">
        <v>1106</v>
      </c>
      <c r="I16" s="89" t="s">
        <v>1107</v>
      </c>
      <c r="J16" s="86" t="s">
        <v>181</v>
      </c>
      <c r="K16" s="91" t="s">
        <v>447</v>
      </c>
    </row>
    <row r="17" spans="1:11">
      <c r="A17" s="86" t="s">
        <v>1110</v>
      </c>
      <c r="B17" s="88">
        <v>642</v>
      </c>
      <c r="C17" s="88">
        <v>8025000</v>
      </c>
      <c r="D17" s="98" t="str">
        <f>IF(C17&gt;=LARGE($C$17:$C$26,5),"재생산","생산중단")</f>
        <v>재생산</v>
      </c>
      <c r="E17" s="26"/>
      <c r="F17" s="26"/>
      <c r="G17" s="86" t="s">
        <v>1111</v>
      </c>
      <c r="H17" s="89">
        <v>82</v>
      </c>
      <c r="I17" s="89">
        <v>94</v>
      </c>
      <c r="J17" s="86">
        <f t="shared" ref="J17:J24" si="2">SUM(H17:I17)</f>
        <v>176</v>
      </c>
      <c r="K17" s="98" t="str">
        <f>IF(J17=MAX($J$17:$J$24),"최고점수",IF(J17=MIN($J$17:$J$24),"최저점수",""))</f>
        <v/>
      </c>
    </row>
    <row r="18" spans="1:11">
      <c r="A18" s="86" t="s">
        <v>1112</v>
      </c>
      <c r="B18" s="88">
        <v>241</v>
      </c>
      <c r="C18" s="88">
        <v>3012500</v>
      </c>
      <c r="D18" s="98" t="str">
        <f t="shared" ref="D18:D26" si="3">IF(C18&gt;=LARGE($C$17:$C$26,5),"재생산","생산중단")</f>
        <v>생산중단</v>
      </c>
      <c r="E18" s="26"/>
      <c r="F18" s="26"/>
      <c r="G18" s="86" t="s">
        <v>1113</v>
      </c>
      <c r="H18" s="89">
        <v>63</v>
      </c>
      <c r="I18" s="89">
        <v>83</v>
      </c>
      <c r="J18" s="86">
        <f t="shared" si="2"/>
        <v>146</v>
      </c>
      <c r="K18" s="98" t="str">
        <f t="shared" ref="K18:K24" si="4">IF(J18=MAX($J$17:$J$24),"최고점수",IF(J18=MIN($J$17:$J$24),"최저점수",""))</f>
        <v/>
      </c>
    </row>
    <row r="19" spans="1:11">
      <c r="A19" s="86" t="s">
        <v>1114</v>
      </c>
      <c r="B19" s="88">
        <v>289</v>
      </c>
      <c r="C19" s="88">
        <v>3612500</v>
      </c>
      <c r="D19" s="98" t="str">
        <f t="shared" si="3"/>
        <v>생산중단</v>
      </c>
      <c r="E19" s="26"/>
      <c r="F19" s="26"/>
      <c r="G19" s="86" t="s">
        <v>1115</v>
      </c>
      <c r="H19" s="89">
        <v>76</v>
      </c>
      <c r="I19" s="89">
        <v>86</v>
      </c>
      <c r="J19" s="86">
        <f t="shared" si="2"/>
        <v>162</v>
      </c>
      <c r="K19" s="98" t="str">
        <f t="shared" si="4"/>
        <v/>
      </c>
    </row>
    <row r="20" spans="1:11">
      <c r="A20" s="86" t="s">
        <v>1116</v>
      </c>
      <c r="B20" s="88">
        <v>685</v>
      </c>
      <c r="C20" s="88">
        <v>8562500</v>
      </c>
      <c r="D20" s="98" t="str">
        <f t="shared" si="3"/>
        <v>재생산</v>
      </c>
      <c r="E20" s="26"/>
      <c r="F20" s="26"/>
      <c r="G20" s="86" t="s">
        <v>1117</v>
      </c>
      <c r="H20" s="89">
        <v>62</v>
      </c>
      <c r="I20" s="89">
        <v>88</v>
      </c>
      <c r="J20" s="86">
        <f t="shared" si="2"/>
        <v>150</v>
      </c>
      <c r="K20" s="98" t="str">
        <f t="shared" si="4"/>
        <v/>
      </c>
    </row>
    <row r="21" spans="1:11">
      <c r="A21" s="86" t="s">
        <v>1118</v>
      </c>
      <c r="B21" s="88">
        <v>917</v>
      </c>
      <c r="C21" s="88">
        <v>11462500</v>
      </c>
      <c r="D21" s="98" t="str">
        <f t="shared" si="3"/>
        <v>재생산</v>
      </c>
      <c r="E21" s="26"/>
      <c r="F21" s="26"/>
      <c r="G21" s="86" t="s">
        <v>1119</v>
      </c>
      <c r="H21" s="89">
        <v>92</v>
      </c>
      <c r="I21" s="89">
        <v>96</v>
      </c>
      <c r="J21" s="86">
        <f t="shared" si="2"/>
        <v>188</v>
      </c>
      <c r="K21" s="98" t="str">
        <f t="shared" si="4"/>
        <v>최고점수</v>
      </c>
    </row>
    <row r="22" spans="1:11">
      <c r="A22" s="86" t="s">
        <v>1120</v>
      </c>
      <c r="B22" s="88">
        <v>862</v>
      </c>
      <c r="C22" s="88">
        <v>10775000</v>
      </c>
      <c r="D22" s="98" t="str">
        <f t="shared" si="3"/>
        <v>재생산</v>
      </c>
      <c r="E22" s="26"/>
      <c r="F22" s="26"/>
      <c r="G22" s="86" t="s">
        <v>1121</v>
      </c>
      <c r="H22" s="89">
        <v>85</v>
      </c>
      <c r="I22" s="89">
        <v>80</v>
      </c>
      <c r="J22" s="86">
        <f t="shared" si="2"/>
        <v>165</v>
      </c>
      <c r="K22" s="98" t="str">
        <f t="shared" si="4"/>
        <v/>
      </c>
    </row>
    <row r="23" spans="1:11">
      <c r="A23" s="86" t="s">
        <v>1122</v>
      </c>
      <c r="B23" s="88">
        <v>571</v>
      </c>
      <c r="C23" s="88">
        <v>7137500</v>
      </c>
      <c r="D23" s="98" t="str">
        <f t="shared" si="3"/>
        <v>재생산</v>
      </c>
      <c r="E23" s="26"/>
      <c r="F23" s="26"/>
      <c r="G23" s="86" t="s">
        <v>1123</v>
      </c>
      <c r="H23" s="89">
        <v>62</v>
      </c>
      <c r="I23" s="89">
        <v>77</v>
      </c>
      <c r="J23" s="86">
        <f t="shared" si="2"/>
        <v>139</v>
      </c>
      <c r="K23" s="98" t="str">
        <f t="shared" si="4"/>
        <v>최저점수</v>
      </c>
    </row>
    <row r="24" spans="1:11">
      <c r="A24" s="86" t="s">
        <v>1124</v>
      </c>
      <c r="B24" s="88">
        <v>295</v>
      </c>
      <c r="C24" s="88">
        <v>3687500</v>
      </c>
      <c r="D24" s="98" t="str">
        <f t="shared" si="3"/>
        <v>생산중단</v>
      </c>
      <c r="E24" s="26"/>
      <c r="F24" s="26"/>
      <c r="G24" s="86" t="s">
        <v>1125</v>
      </c>
      <c r="H24" s="89">
        <v>73</v>
      </c>
      <c r="I24" s="89">
        <v>68</v>
      </c>
      <c r="J24" s="86">
        <f t="shared" si="2"/>
        <v>141</v>
      </c>
      <c r="K24" s="98" t="str">
        <f t="shared" si="4"/>
        <v/>
      </c>
    </row>
    <row r="25" spans="1:11">
      <c r="A25" s="86" t="s">
        <v>1126</v>
      </c>
      <c r="B25" s="88">
        <v>384</v>
      </c>
      <c r="C25" s="88">
        <v>4800000</v>
      </c>
      <c r="D25" s="98" t="str">
        <f t="shared" si="3"/>
        <v>생산중단</v>
      </c>
      <c r="E25" s="26"/>
      <c r="F25" s="26"/>
      <c r="G25" s="26"/>
      <c r="H25" s="26"/>
      <c r="I25" s="26"/>
      <c r="J25" s="26"/>
      <c r="K25" s="26"/>
    </row>
    <row r="26" spans="1:11">
      <c r="A26" s="86" t="s">
        <v>1127</v>
      </c>
      <c r="B26" s="88">
        <v>166</v>
      </c>
      <c r="C26" s="88">
        <v>2075000</v>
      </c>
      <c r="D26" s="98" t="str">
        <f t="shared" si="3"/>
        <v>생산중단</v>
      </c>
      <c r="E26" s="26"/>
      <c r="F26" s="26"/>
      <c r="G26" s="26"/>
      <c r="H26" s="26"/>
      <c r="I26" s="26"/>
      <c r="J26" s="26"/>
      <c r="K26" s="26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26</vt:i4>
      </vt:variant>
    </vt:vector>
  </HeadingPairs>
  <TitlesOfParts>
    <vt:vector size="26" baseType="lpstr">
      <vt:lpstr>계산</vt:lpstr>
      <vt:lpstr>계산(결과)</vt:lpstr>
      <vt:lpstr>데이터베이스</vt:lpstr>
      <vt:lpstr>데이터베이스(결과)</vt:lpstr>
      <vt:lpstr>수학삼각1</vt:lpstr>
      <vt:lpstr>수학삼각1(결과)</vt:lpstr>
      <vt:lpstr>수학삼각2</vt:lpstr>
      <vt:lpstr>수학삼각2(결과)</vt:lpstr>
      <vt:lpstr>통계1</vt:lpstr>
      <vt:lpstr>통계1(결과)</vt:lpstr>
      <vt:lpstr>통계2</vt:lpstr>
      <vt:lpstr>통계2(결과)</vt:lpstr>
      <vt:lpstr>찾기참조1</vt:lpstr>
      <vt:lpstr>찾기참조1(결과)</vt:lpstr>
      <vt:lpstr>찾기참조2</vt:lpstr>
      <vt:lpstr>찾기참조2(결과)</vt:lpstr>
      <vt:lpstr>날짜1</vt:lpstr>
      <vt:lpstr>날짜1(결과)</vt:lpstr>
      <vt:lpstr>날짜2</vt:lpstr>
      <vt:lpstr>날짜2(결과)</vt:lpstr>
      <vt:lpstr>텍스트</vt:lpstr>
      <vt:lpstr>텍스트(결과)</vt:lpstr>
      <vt:lpstr>논리1</vt:lpstr>
      <vt:lpstr>논리1(결과)</vt:lpstr>
      <vt:lpstr>논리2</vt:lpstr>
      <vt:lpstr>논리2(결과)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2020-04-05T12:37:38Z</dcterms:created>
  <dcterms:modified xsi:type="dcterms:W3CDTF">2020-08-04T08:29:54Z</dcterms:modified>
</cp:coreProperties>
</file>